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Default Extension="vml" ContentType="application/vnd.openxmlformats-officedocument.vmlDrawing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31" activeTab="34"/>
  </bookViews>
  <sheets>
    <sheet name="РЖ любители 100 кг." sheetId="1" r:id="rId1"/>
    <sheet name="РЖ любители 150 кг." sheetId="2" r:id="rId2"/>
    <sheet name="Люб. присед софт экип." sheetId="3" r:id="rId3"/>
    <sheet name="Люб. присед б.э." sheetId="4" r:id="rId4"/>
    <sheet name="ПРО присед б.э." sheetId="5" r:id="rId5"/>
    <sheet name="Люб. тяга 1.слой" sheetId="6" r:id="rId6"/>
    <sheet name="Люб. тяга софт экип." sheetId="7" r:id="rId7"/>
    <sheet name="Люб. тяга б.э." sheetId="8" r:id="rId8"/>
    <sheet name="ПРО тяга 1.слой" sheetId="9" r:id="rId9"/>
    <sheet name="ПРО тяга б.э." sheetId="10" r:id="rId10"/>
    <sheet name="Люб. жим мн.слой" sheetId="11" r:id="rId11"/>
    <sheet name="Люб. жим софт экип." sheetId="12" r:id="rId12"/>
    <sheet name="Люб. жим б.э." sheetId="13" r:id="rId13"/>
    <sheet name="Люб. Парная тяга" sheetId="14" r:id="rId14"/>
    <sheet name="Люб. Военный жим" sheetId="15" r:id="rId15"/>
    <sheet name="ПРО жим б.э." sheetId="16" r:id="rId16"/>
    <sheet name="Люб. ПЛ. софт экип." sheetId="17" r:id="rId17"/>
    <sheet name="Люб. ПЛ. б.э." sheetId="18" r:id="rId18"/>
    <sheet name="ПРО ПЛ. мн.слой" sheetId="19" r:id="rId19"/>
    <sheet name="ПРО ПЛ. б.э." sheetId="20" r:id="rId20"/>
    <sheet name="РЖ любители 75 кг." sheetId="21" r:id="rId21"/>
    <sheet name="РЖ любители 55 кг." sheetId="22" r:id="rId22"/>
    <sheet name="РЖ любители 35 кг." sheetId="23" r:id="rId23"/>
    <sheet name="РЖ Проф 150 кг." sheetId="24" r:id="rId24"/>
    <sheet name="РЖ Проф 125 кг." sheetId="25" r:id="rId25"/>
    <sheet name="РЖ Проф 100 кг." sheetId="26" r:id="rId26"/>
    <sheet name="РЖ Проф 75 кг." sheetId="27" r:id="rId27"/>
    <sheet name="1-44-46РЖ Проф 55 кг." sheetId="28" r:id="rId28"/>
    <sheet name="РЖ Проф 55 кг." sheetId="29" r:id="rId29"/>
    <sheet name="Проф. народный жим 1_2 вес" sheetId="30" r:id="rId30"/>
    <sheet name="Проф. народный жим 1 вес" sheetId="31" r:id="rId31"/>
    <sheet name="Люб. народный жим 1_2 вес" sheetId="32" r:id="rId32"/>
    <sheet name="Люб. народный жим 1 вес" sheetId="33" r:id="rId33"/>
    <sheet name="Профессионалы" sheetId="34" r:id="rId34"/>
    <sheet name="Любители" sheetId="35" r:id="rId35"/>
  </sheets>
  <definedNames/>
  <calcPr fullCalcOnLoad="1" refMode="R1C1"/>
</workbook>
</file>

<file path=xl/sharedStrings.xml><?xml version="1.0" encoding="utf-8"?>
<sst xmlns="http://schemas.openxmlformats.org/spreadsheetml/2006/main" count="3707" uniqueCount="1084">
  <si>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</si>
  <si>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</si>
  <si>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</si>
  <si>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</si>
  <si>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</si>
  <si>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</si>
  <si>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</si>
  <si>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</si>
  <si>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</si>
  <si>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</si>
  <si>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</si>
  <si>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</si>
  <si>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</si>
  <si>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</si>
  <si>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</si>
  <si>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</si>
  <si>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</si>
  <si>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</si>
  <si>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нАП ЧЕМ СНГ
ПРО пауэрлифтинг без экипировки
Краснодар/Краснодарский край 21 - 22 июля 2018 г.</t>
  </si>
  <si>
    <t>Shv/Mel</t>
  </si>
  <si>
    <t>ВЕСОВАЯ КАТЕГОРИЯ   90</t>
  </si>
  <si>
    <t>Никольский Григорий</t>
  </si>
  <si>
    <t>1. Никольский Григорий</t>
  </si>
  <si>
    <t>Открытая (16.05.1983)/35</t>
  </si>
  <si>
    <t>86,90</t>
  </si>
  <si>
    <t xml:space="preserve">Лично </t>
  </si>
  <si>
    <t xml:space="preserve">Краснодар/Краснодарский край </t>
  </si>
  <si>
    <t>180,0</t>
  </si>
  <si>
    <t>195,0e</t>
  </si>
  <si>
    <t>210,0e</t>
  </si>
  <si>
    <t>140,0e</t>
  </si>
  <si>
    <t>150,0e</t>
  </si>
  <si>
    <t>160,0</t>
  </si>
  <si>
    <t>240,0e</t>
  </si>
  <si>
    <t>255,0e</t>
  </si>
  <si>
    <t>265,0e</t>
  </si>
  <si>
    <t xml:space="preserve">Низамиди В. </t>
  </si>
  <si>
    <t>ВЕСОВАЯ КАТЕГОРИЯ   100</t>
  </si>
  <si>
    <t>Дороничев Сергей</t>
  </si>
  <si>
    <t>1. Дороничев Сергей</t>
  </si>
  <si>
    <t>Открытая (06.11.1982)/35</t>
  </si>
  <si>
    <t>96,00</t>
  </si>
  <si>
    <t xml:space="preserve">Тимашёвск/Краснодарский край </t>
  </si>
  <si>
    <t>180,0e</t>
  </si>
  <si>
    <t>187,5e</t>
  </si>
  <si>
    <t>195,0</t>
  </si>
  <si>
    <t>200,0e</t>
  </si>
  <si>
    <t>215,0e</t>
  </si>
  <si>
    <t>230,0e</t>
  </si>
  <si>
    <t xml:space="preserve"> </t>
  </si>
  <si>
    <t>ВЕСОВАЯ КАТЕГОРИЯ   125</t>
  </si>
  <si>
    <t>Шавоев Яшар</t>
  </si>
  <si>
    <t>1. Шавоев Яшар</t>
  </si>
  <si>
    <t>Открытая (02.10.1986)/31</t>
  </si>
  <si>
    <t>115,00</t>
  </si>
  <si>
    <t xml:space="preserve">Майкоп </t>
  </si>
  <si>
    <t>290,0e</t>
  </si>
  <si>
    <t>300,0e</t>
  </si>
  <si>
    <t>170,0e</t>
  </si>
  <si>
    <t>175,0</t>
  </si>
  <si>
    <t>280,0e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</si>
  <si>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</si>
  <si>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</si>
  <si>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</si>
  <si>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</si>
  <si>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</si>
  <si>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</si>
  <si>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</si>
  <si>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125,0</t>
  </si>
  <si>
    <t>770,0</t>
  </si>
  <si>
    <t>409,1780</t>
  </si>
  <si>
    <t>90,0</t>
  </si>
  <si>
    <t>625,0</t>
  </si>
  <si>
    <t>373,8750</t>
  </si>
  <si>
    <t>100,0</t>
  </si>
  <si>
    <t>575,0</t>
  </si>
  <si>
    <t>324,7600</t>
  </si>
  <si>
    <t>нАП ЧЕМ СНГ
ПРО пауэрлифтинг в многослойной экипировке
Краснодар/Краснодарский край 21 - 22 июля 2018 г.</t>
  </si>
  <si>
    <t>Митрофанов Павел</t>
  </si>
  <si>
    <t>1. Митрофанов Павел</t>
  </si>
  <si>
    <t>Открытая (12.08.1983)/34</t>
  </si>
  <si>
    <t>99,60</t>
  </si>
  <si>
    <t xml:space="preserve">Горячий ключ </t>
  </si>
  <si>
    <t>330,0e</t>
  </si>
  <si>
    <t>360,0e</t>
  </si>
  <si>
    <t>380,0e</t>
  </si>
  <si>
    <t>250,0e</t>
  </si>
  <si>
    <t>265,0</t>
  </si>
  <si>
    <t>270,0e</t>
  </si>
  <si>
    <t>290,0</t>
  </si>
  <si>
    <t xml:space="preserve">Сизов андрей </t>
  </si>
  <si>
    <t>900,0</t>
  </si>
  <si>
    <t>499,5000</t>
  </si>
  <si>
    <t>нАП ЧЕМ СНГ
Любители пауэрлифтинг без экипировки
Краснодар/Краснодарский край 21 - 22 июля 2018 г.</t>
  </si>
  <si>
    <t>ВЕСОВАЯ КАТЕГОРИЯ   48</t>
  </si>
  <si>
    <t>Белоцерковская Ирина</t>
  </si>
  <si>
    <t>1. Белоцерковская Ирина</t>
  </si>
  <si>
    <t>Юниорки 20 - 23 (07.11.1994)/23</t>
  </si>
  <si>
    <t>47,80</t>
  </si>
  <si>
    <t>80,0e</t>
  </si>
  <si>
    <t>92,5e</t>
  </si>
  <si>
    <t>45,0e</t>
  </si>
  <si>
    <t>47,5</t>
  </si>
  <si>
    <t>50,0e</t>
  </si>
  <si>
    <t>82,5e</t>
  </si>
  <si>
    <t>90,0e</t>
  </si>
  <si>
    <t>ВЕСОВАЯ КАТЕГОРИЯ   52</t>
  </si>
  <si>
    <t>Губжева Амина</t>
  </si>
  <si>
    <t>1. Губжева Амина</t>
  </si>
  <si>
    <t>Девушки 14 - 15 (14.10.2003)/14</t>
  </si>
  <si>
    <t>50,50</t>
  </si>
  <si>
    <t xml:space="preserve">Легион </t>
  </si>
  <si>
    <t xml:space="preserve">Нальчик/Кабардино-Балкария </t>
  </si>
  <si>
    <t>50,0</t>
  </si>
  <si>
    <t>60,0</t>
  </si>
  <si>
    <t>67,5</t>
  </si>
  <si>
    <t>25,0</t>
  </si>
  <si>
    <t>30,0</t>
  </si>
  <si>
    <t>32,5</t>
  </si>
  <si>
    <t>70,0</t>
  </si>
  <si>
    <t>85,0</t>
  </si>
  <si>
    <t xml:space="preserve">Губжев Б.Р. </t>
  </si>
  <si>
    <t>Борискина Инга</t>
  </si>
  <si>
    <t>1. Борискина Инга</t>
  </si>
  <si>
    <t>Мастера 40 - 44 (18.04.1976)/42</t>
  </si>
  <si>
    <t>50,60</t>
  </si>
  <si>
    <t xml:space="preserve">Славянск-на-Кубани/Краснодарский край </t>
  </si>
  <si>
    <t>87,5e</t>
  </si>
  <si>
    <t>42,5e</t>
  </si>
  <si>
    <t>47,5e</t>
  </si>
  <si>
    <t>95,0e</t>
  </si>
  <si>
    <t>102,5e</t>
  </si>
  <si>
    <t>107,5</t>
  </si>
  <si>
    <t>ВЕСОВАЯ КАТЕГОРИЯ   56</t>
  </si>
  <si>
    <t>Твердохлебова Полина</t>
  </si>
  <si>
    <t>1. Твердохлебова Полина</t>
  </si>
  <si>
    <t>Девушки 18 - 19 (18.12.1999)/18</t>
  </si>
  <si>
    <t>56,00</t>
  </si>
  <si>
    <t xml:space="preserve">Донецк/донецк </t>
  </si>
  <si>
    <t>65,0e</t>
  </si>
  <si>
    <t>70,0e</t>
  </si>
  <si>
    <t>75,0</t>
  </si>
  <si>
    <t>35,0</t>
  </si>
  <si>
    <t>35,0e</t>
  </si>
  <si>
    <t>37,5e</t>
  </si>
  <si>
    <t>105,0</t>
  </si>
  <si>
    <t>Калита Наталья</t>
  </si>
  <si>
    <t>1. Калита Наталья</t>
  </si>
  <si>
    <t>Открытая (20.09.1980)/37</t>
  </si>
  <si>
    <t>54,50</t>
  </si>
  <si>
    <t>85,0e</t>
  </si>
  <si>
    <t>95,0</t>
  </si>
  <si>
    <t>105,0e</t>
  </si>
  <si>
    <t>112,5e</t>
  </si>
  <si>
    <t>117,5</t>
  </si>
  <si>
    <t>ВЕСОВАЯ КАТЕГОРИЯ   60</t>
  </si>
  <si>
    <t>Акимова Анна</t>
  </si>
  <si>
    <t>1. Акимова Анна</t>
  </si>
  <si>
    <t>Открытая (07.09.1992)/25</t>
  </si>
  <si>
    <t>60,00</t>
  </si>
  <si>
    <t>100,0e</t>
  </si>
  <si>
    <t>110,0e</t>
  </si>
  <si>
    <t>115,0e</t>
  </si>
  <si>
    <t>60,0e</t>
  </si>
  <si>
    <t>125,0e</t>
  </si>
  <si>
    <t>135,0e</t>
  </si>
  <si>
    <t>Слобожанинова Светлана</t>
  </si>
  <si>
    <t>1. Слобожанинова Светлана</t>
  </si>
  <si>
    <t>Мастера 40 - 44 (27.04.1978)/40</t>
  </si>
  <si>
    <t>59,20</t>
  </si>
  <si>
    <t xml:space="preserve">Геленджик/Краснодарский край </t>
  </si>
  <si>
    <t>97,5e</t>
  </si>
  <si>
    <t>ВЕСОВАЯ КАТЕГОРИЯ   67.5</t>
  </si>
  <si>
    <t>Ушакова Ольга</t>
  </si>
  <si>
    <t>1. Ушакова Ольга</t>
  </si>
  <si>
    <t>Открытая (22.03.1974)/44</t>
  </si>
  <si>
    <t>67,00</t>
  </si>
  <si>
    <t xml:space="preserve">Москва </t>
  </si>
  <si>
    <t>55,0</t>
  </si>
  <si>
    <t>Мастера 40 - 44 (22.03.1974)/44</t>
  </si>
  <si>
    <t>ВЕСОВАЯ КАТЕГОРИЯ   82.5</t>
  </si>
  <si>
    <t>Шибаева Ольга</t>
  </si>
  <si>
    <t>1. Шибаева Ольга</t>
  </si>
  <si>
    <t>Открытая (06.06.1976)/42</t>
  </si>
  <si>
    <t>78,20</t>
  </si>
  <si>
    <t>57,5e</t>
  </si>
  <si>
    <t>62,5</t>
  </si>
  <si>
    <t>62,5e</t>
  </si>
  <si>
    <t>ВЕСОВАЯ КАТЕГОРИЯ   75</t>
  </si>
  <si>
    <t>Обухов Дмитрий</t>
  </si>
  <si>
    <t>1. Обухов Дмитрий</t>
  </si>
  <si>
    <t>Юноши 16 - 17 (29.11.2000)/17</t>
  </si>
  <si>
    <t>70,80</t>
  </si>
  <si>
    <t>75,0e</t>
  </si>
  <si>
    <t>80,0</t>
  </si>
  <si>
    <t>120,0e</t>
  </si>
  <si>
    <t>130,0e</t>
  </si>
  <si>
    <t>Черняев Игорь</t>
  </si>
  <si>
    <t>1. Черняев Игорь</t>
  </si>
  <si>
    <t>Открытая (05.04.1984)/34</t>
  </si>
  <si>
    <t>75,00</t>
  </si>
  <si>
    <t>185,0e</t>
  </si>
  <si>
    <t>132,5e</t>
  </si>
  <si>
    <t>135,0</t>
  </si>
  <si>
    <t>210,0</t>
  </si>
  <si>
    <t>220,0e</t>
  </si>
  <si>
    <t xml:space="preserve">Нет </t>
  </si>
  <si>
    <t>Тхагалегов Индрис</t>
  </si>
  <si>
    <t>1. Тхагалегов Индрис</t>
  </si>
  <si>
    <t>Юноши 14 - 15 (16.08.2003)/14</t>
  </si>
  <si>
    <t>78,80</t>
  </si>
  <si>
    <t>55,0e</t>
  </si>
  <si>
    <t>137,5e</t>
  </si>
  <si>
    <t>150,0</t>
  </si>
  <si>
    <t>155,0e</t>
  </si>
  <si>
    <t>Козлов Александр</t>
  </si>
  <si>
    <t>1. Козлов Александр</t>
  </si>
  <si>
    <t>Открытая (01.07.1983)/35</t>
  </si>
  <si>
    <t>81,00</t>
  </si>
  <si>
    <t>175,0e</t>
  </si>
  <si>
    <t>182,5</t>
  </si>
  <si>
    <t>137,5</t>
  </si>
  <si>
    <t>225,0e</t>
  </si>
  <si>
    <t>235,0</t>
  </si>
  <si>
    <t>237,5</t>
  </si>
  <si>
    <t>Шурдумов Альбек</t>
  </si>
  <si>
    <t>1. Шурдумов Альбек</t>
  </si>
  <si>
    <t>Юноши 16 - 17 (17.12.2000)/17</t>
  </si>
  <si>
    <t>94,30</t>
  </si>
  <si>
    <t>145,0e</t>
  </si>
  <si>
    <t>222,5e</t>
  </si>
  <si>
    <t>237,5e</t>
  </si>
  <si>
    <t>Задорожний Дмитрий</t>
  </si>
  <si>
    <t>1. Задорожний Дмитрий</t>
  </si>
  <si>
    <t>Открытая (18.12.1979)/38</t>
  </si>
  <si>
    <t>98,30</t>
  </si>
  <si>
    <t>160,0e</t>
  </si>
  <si>
    <t>172,5e</t>
  </si>
  <si>
    <t>Уянаев Тамерлан</t>
  </si>
  <si>
    <t>1. Уянаев Тамерлан</t>
  </si>
  <si>
    <t>Юноши 16 - 17 (09.08.2001)/16</t>
  </si>
  <si>
    <t>123,00</t>
  </si>
  <si>
    <t>140,0</t>
  </si>
  <si>
    <t>185,0</t>
  </si>
  <si>
    <t>192,5</t>
  </si>
  <si>
    <t xml:space="preserve">Женщины </t>
  </si>
  <si>
    <t xml:space="preserve">Девушки </t>
  </si>
  <si>
    <t xml:space="preserve">Юноши 14 - 15 </t>
  </si>
  <si>
    <t>52,0</t>
  </si>
  <si>
    <t>222,8363</t>
  </si>
  <si>
    <t xml:space="preserve">Юноши 18 - 19 </t>
  </si>
  <si>
    <t>56,0</t>
  </si>
  <si>
    <t>197,5</t>
  </si>
  <si>
    <t>191,0109</t>
  </si>
  <si>
    <t xml:space="preserve">Юниорки </t>
  </si>
  <si>
    <t xml:space="preserve">Юниоры 20 - 23 </t>
  </si>
  <si>
    <t>48,0</t>
  </si>
  <si>
    <t>232,5</t>
  </si>
  <si>
    <t>241,3117</t>
  </si>
  <si>
    <t>325,0</t>
  </si>
  <si>
    <t>279,7925</t>
  </si>
  <si>
    <t>255,0</t>
  </si>
  <si>
    <t>237,8130</t>
  </si>
  <si>
    <t>260,0</t>
  </si>
  <si>
    <t>203,8920</t>
  </si>
  <si>
    <t>82,5</t>
  </si>
  <si>
    <t>277,5</t>
  </si>
  <si>
    <t>194,3610</t>
  </si>
  <si>
    <t xml:space="preserve">Мастера </t>
  </si>
  <si>
    <t xml:space="preserve">Мастера 40 - 44 </t>
  </si>
  <si>
    <t>240,0</t>
  </si>
  <si>
    <t>240,0169</t>
  </si>
  <si>
    <t>210,2127</t>
  </si>
  <si>
    <t>208,9680</t>
  </si>
  <si>
    <t xml:space="preserve">Юноши </t>
  </si>
  <si>
    <t xml:space="preserve">Юноши 16 - 17 </t>
  </si>
  <si>
    <t>592,5</t>
  </si>
  <si>
    <t>364,8070</t>
  </si>
  <si>
    <t>330,0</t>
  </si>
  <si>
    <t>259,7354</t>
  </si>
  <si>
    <t>427,5</t>
  </si>
  <si>
    <t>252,9864</t>
  </si>
  <si>
    <t>310,0</t>
  </si>
  <si>
    <t>233,1547</t>
  </si>
  <si>
    <t>547,5</t>
  </si>
  <si>
    <t>363,8137</t>
  </si>
  <si>
    <t>532,5</t>
  </si>
  <si>
    <t>334,0373</t>
  </si>
  <si>
    <t>510,0</t>
  </si>
  <si>
    <t>284,7330</t>
  </si>
  <si>
    <t>нАП ЧЕМ СНГ
Любители пауэрлифтинг в софт экипировке
Краснодар/Краснодарский край 21 - 22 июля 2018 г.</t>
  </si>
  <si>
    <t>-. Малахова Юлия</t>
  </si>
  <si>
    <t>Мастера 40 - 44 (11.12.1974)/43</t>
  </si>
  <si>
    <t>66,20</t>
  </si>
  <si>
    <t>65,0</t>
  </si>
  <si>
    <t>Результат</t>
  </si>
  <si>
    <t>нАП ЧЕМ СНГ
ПРО жим лежа без экипировки
Краснодар/Краснодарский край 21 - 22 июля 2018 г.</t>
  </si>
  <si>
    <t>Акименко Лилия</t>
  </si>
  <si>
    <t>1. Акименко Лилия</t>
  </si>
  <si>
    <t>Мастера 45 - 49 (19.02.1970)/48</t>
  </si>
  <si>
    <t>59,00</t>
  </si>
  <si>
    <t xml:space="preserve">Новороссийск/Краснодарский край </t>
  </si>
  <si>
    <t>52,5e</t>
  </si>
  <si>
    <t>Мазурин Иван</t>
  </si>
  <si>
    <t>1. Мазурин Иван</t>
  </si>
  <si>
    <t>Юноши 16 - 17 (21.04.2001)/17</t>
  </si>
  <si>
    <t>72,00</t>
  </si>
  <si>
    <t xml:space="preserve">Тихорецк/Краснодарский край </t>
  </si>
  <si>
    <t>Рукавишников Руслан</t>
  </si>
  <si>
    <t>1. Рукавишников Руслан</t>
  </si>
  <si>
    <t>Юниоры 20 - 23 (29.07.1994)/23</t>
  </si>
  <si>
    <t>77,50</t>
  </si>
  <si>
    <t>142,5e</t>
  </si>
  <si>
    <t>147,5e</t>
  </si>
  <si>
    <t>Беспальчев Александр</t>
  </si>
  <si>
    <t>1. Беспальчев Александр</t>
  </si>
  <si>
    <t>Открытая (29.06.1984)/34</t>
  </si>
  <si>
    <t>78,00</t>
  </si>
  <si>
    <t>152,5</t>
  </si>
  <si>
    <t>Апакшин Игорь</t>
  </si>
  <si>
    <t>1. Апакшин Игорь</t>
  </si>
  <si>
    <t>Мастера 50 - 54 (30.03.1964)/54</t>
  </si>
  <si>
    <t>82,50</t>
  </si>
  <si>
    <t xml:space="preserve">Новоуральск/Свердловская область </t>
  </si>
  <si>
    <t>127,5e</t>
  </si>
  <si>
    <t>Коротченко Евгений</t>
  </si>
  <si>
    <t>1. Коротченко Евгений</t>
  </si>
  <si>
    <t>Юниоры 20 - 23 (03.04.1996)/22</t>
  </si>
  <si>
    <t>89,50</t>
  </si>
  <si>
    <t xml:space="preserve">Сочи/Краснодарский край </t>
  </si>
  <si>
    <t>170,0</t>
  </si>
  <si>
    <t>Насонов Роман</t>
  </si>
  <si>
    <t>1. Насонов Роман</t>
  </si>
  <si>
    <t>Открытая (10.12.1990)/27</t>
  </si>
  <si>
    <t>89,70</t>
  </si>
  <si>
    <t>177,5</t>
  </si>
  <si>
    <t>Лузин Сергей</t>
  </si>
  <si>
    <t>1. Лузин Сергей</t>
  </si>
  <si>
    <t>Мастера 60 - 64 (30.04.1954)/64</t>
  </si>
  <si>
    <t>90,00</t>
  </si>
  <si>
    <t xml:space="preserve">Пермь/Пермский край </t>
  </si>
  <si>
    <t>120,0</t>
  </si>
  <si>
    <t>130,0</t>
  </si>
  <si>
    <t>Полещук Иван</t>
  </si>
  <si>
    <t>1. Полещук Иван</t>
  </si>
  <si>
    <t>Открытая (27.04.1984)/34</t>
  </si>
  <si>
    <t>99,90</t>
  </si>
  <si>
    <t xml:space="preserve">Россошь/Воронежская область </t>
  </si>
  <si>
    <t>Ухоботов Владимир</t>
  </si>
  <si>
    <t>1. Ухоботов Владимир</t>
  </si>
  <si>
    <t>Мастера 40 - 44 (18.06.1978)/40</t>
  </si>
  <si>
    <t>100,00</t>
  </si>
  <si>
    <t>145,0</t>
  </si>
  <si>
    <t>167,5</t>
  </si>
  <si>
    <t>Симонов Андрей</t>
  </si>
  <si>
    <t>1. Симонов Андрей</t>
  </si>
  <si>
    <t>Мастера 45 - 49 (06.03.1972)/46</t>
  </si>
  <si>
    <t>99,00</t>
  </si>
  <si>
    <t>157,5</t>
  </si>
  <si>
    <t xml:space="preserve">Мастера 45 - 49 </t>
  </si>
  <si>
    <t>52,5</t>
  </si>
  <si>
    <t>51,2037</t>
  </si>
  <si>
    <t>107,5372</t>
  </si>
  <si>
    <t xml:space="preserve">Юниоры </t>
  </si>
  <si>
    <t>155,0</t>
  </si>
  <si>
    <t>100,4245</t>
  </si>
  <si>
    <t>94,9077</t>
  </si>
  <si>
    <t>172,5</t>
  </si>
  <si>
    <t>101,1712</t>
  </si>
  <si>
    <t>99,7740</t>
  </si>
  <si>
    <t>147,5</t>
  </si>
  <si>
    <t>95,1080</t>
  </si>
  <si>
    <t xml:space="preserve">Мастера 60 - 64 </t>
  </si>
  <si>
    <t>127,5</t>
  </si>
  <si>
    <t>139,1770</t>
  </si>
  <si>
    <t xml:space="preserve">Мастера 50 - 54 </t>
  </si>
  <si>
    <t>142,5</t>
  </si>
  <si>
    <t>117,3728</t>
  </si>
  <si>
    <t>92,2093</t>
  </si>
  <si>
    <t>85,8700</t>
  </si>
  <si>
    <t>нАП ЧЕМ СНГ
Любители военный жим
Краснодар/Краснодарский край 21 - 22 июля 2018 г.</t>
  </si>
  <si>
    <t>Ушаков Владислав</t>
  </si>
  <si>
    <t>1. Ушаков Владислав</t>
  </si>
  <si>
    <t>Открытая (12.01.1983)/35</t>
  </si>
  <si>
    <t>87,80</t>
  </si>
  <si>
    <t xml:space="preserve">Кропоткин/Краснодарский край </t>
  </si>
  <si>
    <t>Бабаев Замир</t>
  </si>
  <si>
    <t>1. Бабаев Замир</t>
  </si>
  <si>
    <t>Открытая (19.09.1984)/33</t>
  </si>
  <si>
    <t xml:space="preserve">Дербент/Дагестан республика </t>
  </si>
  <si>
    <t>87,6592</t>
  </si>
  <si>
    <t>83,1000</t>
  </si>
  <si>
    <t>нАП ЧЕМ СНГ
Любители жим лежа без экипировки
Краснодар/Краснодарский край 21 - 22 июля 2018 г.</t>
  </si>
  <si>
    <t>Цирина Александра</t>
  </si>
  <si>
    <t>1. Цирина Александра</t>
  </si>
  <si>
    <t>Девушки 18 - 19 (15.08.1999)/18</t>
  </si>
  <si>
    <t>51,70</t>
  </si>
  <si>
    <t xml:space="preserve">Ростов-на-Дону/Ростовская область </t>
  </si>
  <si>
    <t>Пшиченко Татьяна</t>
  </si>
  <si>
    <t>2. Пшиченко Татьяна</t>
  </si>
  <si>
    <t>Открытая (20.10.1985)/32</t>
  </si>
  <si>
    <t>58,50</t>
  </si>
  <si>
    <t>40,0e</t>
  </si>
  <si>
    <t>45,0</t>
  </si>
  <si>
    <t>Гмыря Надежда</t>
  </si>
  <si>
    <t>1. Гмыря Надежда</t>
  </si>
  <si>
    <t>Открытая (27.04.1990)/28</t>
  </si>
  <si>
    <t>64,00</t>
  </si>
  <si>
    <t xml:space="preserve">Ейск/Краснодарский край </t>
  </si>
  <si>
    <t>Анисимова Людмила</t>
  </si>
  <si>
    <t>2. Анисимова Людмила</t>
  </si>
  <si>
    <t>Открытая (23.01.1986)/32</t>
  </si>
  <si>
    <t>65,20</t>
  </si>
  <si>
    <t>57,5</t>
  </si>
  <si>
    <t>Лукьянова Екатерина</t>
  </si>
  <si>
    <t>3. Лукьянова Екатерина</t>
  </si>
  <si>
    <t>Открытая (13.03.1987)/31</t>
  </si>
  <si>
    <t>62,90</t>
  </si>
  <si>
    <t>32,5e</t>
  </si>
  <si>
    <t>37,5</t>
  </si>
  <si>
    <t>42,5</t>
  </si>
  <si>
    <t>-. Орлова Эмилия</t>
  </si>
  <si>
    <t>Открытая (12.12.1991)/26</t>
  </si>
  <si>
    <t>65,80</t>
  </si>
  <si>
    <t>Ким Ольга</t>
  </si>
  <si>
    <t>1. Ким Ольга</t>
  </si>
  <si>
    <t>Мастера 45 - 49 (12.06.1973)/45</t>
  </si>
  <si>
    <t>66,80</t>
  </si>
  <si>
    <t>67,5e</t>
  </si>
  <si>
    <t>72,5</t>
  </si>
  <si>
    <t>Латышева Анна</t>
  </si>
  <si>
    <t>1. Латышева Анна</t>
  </si>
  <si>
    <t>Открытая (22.12.1992)/25</t>
  </si>
  <si>
    <t>73,30</t>
  </si>
  <si>
    <t>ВЕСОВАЯ КАТЕГОРИЯ   90+</t>
  </si>
  <si>
    <t>Данилова Наталья</t>
  </si>
  <si>
    <t>1. Данилова Наталья</t>
  </si>
  <si>
    <t>Открытая (10.11.1986)/31</t>
  </si>
  <si>
    <t>103,00</t>
  </si>
  <si>
    <t xml:space="preserve">Анапа/Краснодарский край </t>
  </si>
  <si>
    <t>Пигуль Иван</t>
  </si>
  <si>
    <t>1. Пигуль Иван</t>
  </si>
  <si>
    <t>Юноши 14 - 15 (13.08.2004)/13</t>
  </si>
  <si>
    <t>51,60</t>
  </si>
  <si>
    <t>Гусаков Виталий</t>
  </si>
  <si>
    <t>1. Гусаков Виталий</t>
  </si>
  <si>
    <t>Юноши 18 - 19 (14.11.1999)/18</t>
  </si>
  <si>
    <t>73,00</t>
  </si>
  <si>
    <t xml:space="preserve">Темрюк/Краснодарский край </t>
  </si>
  <si>
    <t>Абрамов Алексей</t>
  </si>
  <si>
    <t>1. Абрамов Алексей</t>
  </si>
  <si>
    <t>Открытая (25.03.1984)/34</t>
  </si>
  <si>
    <t>74,80</t>
  </si>
  <si>
    <t xml:space="preserve">Russia </t>
  </si>
  <si>
    <t xml:space="preserve">Краснодар </t>
  </si>
  <si>
    <t xml:space="preserve">Самостоятельно </t>
  </si>
  <si>
    <t>Оружбеков Ренат</t>
  </si>
  <si>
    <t>2. Оружбеков Ренат</t>
  </si>
  <si>
    <t>Открытая (11.05.1985)/33</t>
  </si>
  <si>
    <t>73,90</t>
  </si>
  <si>
    <t>132,5</t>
  </si>
  <si>
    <t>-. Михно Вадим</t>
  </si>
  <si>
    <t>Открытая (15.08.1985)/32</t>
  </si>
  <si>
    <t>74,30</t>
  </si>
  <si>
    <t>0,0</t>
  </si>
  <si>
    <t>Космынин Владимир</t>
  </si>
  <si>
    <t>1. Космынин Владимир</t>
  </si>
  <si>
    <t>Мастера 55 - 59 (12.06.1960)/58</t>
  </si>
  <si>
    <t>72,20</t>
  </si>
  <si>
    <t xml:space="preserve">Кропоткин </t>
  </si>
  <si>
    <t xml:space="preserve">самостоятельно </t>
  </si>
  <si>
    <t>Дворкин Леонид</t>
  </si>
  <si>
    <t>1. Дворкин Леонид</t>
  </si>
  <si>
    <t>Мастера 75 - 79 (23.01.1941)/77</t>
  </si>
  <si>
    <t>74,50</t>
  </si>
  <si>
    <t>97,5</t>
  </si>
  <si>
    <t>107,5e</t>
  </si>
  <si>
    <t>Осауленко Аркадий</t>
  </si>
  <si>
    <t>1. Осауленко Аркадий</t>
  </si>
  <si>
    <t>Открытая (30.04.1987)/31</t>
  </si>
  <si>
    <t>81,20</t>
  </si>
  <si>
    <t>Самойлик Борис</t>
  </si>
  <si>
    <t>2. Самойлик Борис</t>
  </si>
  <si>
    <t>Открытая (14.05.1984)/34</t>
  </si>
  <si>
    <t>81,80</t>
  </si>
  <si>
    <t>Москалев Дмитрий</t>
  </si>
  <si>
    <t>3. Москалев Дмитрий</t>
  </si>
  <si>
    <t>Открытая (11.02.1978)/40</t>
  </si>
  <si>
    <t>82,40</t>
  </si>
  <si>
    <t>Вишняков Станислав</t>
  </si>
  <si>
    <t>4. Вишняков Станислав</t>
  </si>
  <si>
    <t>Открытая (24.09.1978)/39</t>
  </si>
  <si>
    <t xml:space="preserve">Санкт-Петербург </t>
  </si>
  <si>
    <t>Цамалаидзе Валерий</t>
  </si>
  <si>
    <t>5. Цамалаидзе Валерий</t>
  </si>
  <si>
    <t>Открытая (09.07.1992)/26</t>
  </si>
  <si>
    <t>80,80</t>
  </si>
  <si>
    <t>110,0</t>
  </si>
  <si>
    <t>115,0</t>
  </si>
  <si>
    <t>1. Москалев Дмитрий</t>
  </si>
  <si>
    <t>Мастера 40 - 44 (11.02.1978)/40</t>
  </si>
  <si>
    <t>Клименко Сергей</t>
  </si>
  <si>
    <t>1. Клименко Сергей</t>
  </si>
  <si>
    <t>Открытая (01.09.1989)/28</t>
  </si>
  <si>
    <t>89,10</t>
  </si>
  <si>
    <t>Балтин Олег</t>
  </si>
  <si>
    <t>1. Балтин Олег</t>
  </si>
  <si>
    <t>Мастера 40 - 44 (26.05.1978)/40</t>
  </si>
  <si>
    <t>88,30</t>
  </si>
  <si>
    <t>162,5e</t>
  </si>
  <si>
    <t>89,80</t>
  </si>
  <si>
    <t>Давыдов Денис</t>
  </si>
  <si>
    <t>1. Давыдов Денис</t>
  </si>
  <si>
    <t>Открытая (27.07.1983)/34</t>
  </si>
  <si>
    <t>96,90</t>
  </si>
  <si>
    <t>165,0</t>
  </si>
  <si>
    <t>2. Бабаев Замир</t>
  </si>
  <si>
    <t>165,0e</t>
  </si>
  <si>
    <t>Примаченко Станислав</t>
  </si>
  <si>
    <t>3. Примаченко Станислав</t>
  </si>
  <si>
    <t>Открытая (08.05.1985)/33</t>
  </si>
  <si>
    <t>98,70</t>
  </si>
  <si>
    <t>Доронин Игорь</t>
  </si>
  <si>
    <t>4. Доронин Игорь</t>
  </si>
  <si>
    <t>Открытая (04.05.1980)/38</t>
  </si>
  <si>
    <t>162,5</t>
  </si>
  <si>
    <t>Башкатов Вячеслав</t>
  </si>
  <si>
    <t>5. Башкатов Вячеслав</t>
  </si>
  <si>
    <t>Открытая (09.09.1982)/35</t>
  </si>
  <si>
    <t>97,00</t>
  </si>
  <si>
    <t>Брянцев Николай</t>
  </si>
  <si>
    <t>1. Брянцев Николай</t>
  </si>
  <si>
    <t>Мастера 40 - 44 (29.06.1978)/40</t>
  </si>
  <si>
    <t>99,50</t>
  </si>
  <si>
    <t>-. Хитарян Рустам</t>
  </si>
  <si>
    <t>Мастера 40 - 44 (26.09.1975)/42</t>
  </si>
  <si>
    <t>98,80</t>
  </si>
  <si>
    <t>Безвербный Алексей</t>
  </si>
  <si>
    <t>1. Безвербный Алексей</t>
  </si>
  <si>
    <t>Мастера 45 - 49 (18.03.1973)/45</t>
  </si>
  <si>
    <t>95,60</t>
  </si>
  <si>
    <t>ВЕСОВАЯ КАТЕГОРИЯ   110</t>
  </si>
  <si>
    <t>Бабакин Константин</t>
  </si>
  <si>
    <t>1. Бабакин Константин</t>
  </si>
  <si>
    <t>Открытая (05.01.1984)/34</t>
  </si>
  <si>
    <t>105,50</t>
  </si>
  <si>
    <t>167,5e</t>
  </si>
  <si>
    <t>Назаров Павел</t>
  </si>
  <si>
    <t>2. Назаров Павел</t>
  </si>
  <si>
    <t>Открытая (24.04.1979)/39</t>
  </si>
  <si>
    <t>106,70</t>
  </si>
  <si>
    <t>Мордвинов Виталий</t>
  </si>
  <si>
    <t>1. Мордвинов Виталий</t>
  </si>
  <si>
    <t>Открытая (24.04.1987)/31</t>
  </si>
  <si>
    <t>123,50</t>
  </si>
  <si>
    <t xml:space="preserve">Кривенко николай </t>
  </si>
  <si>
    <t>Белоусов Владимир</t>
  </si>
  <si>
    <t>2. Белоусов Владимир</t>
  </si>
  <si>
    <t>Открытая (11.06.1986)/32</t>
  </si>
  <si>
    <t>120,00</t>
  </si>
  <si>
    <t>Барилко Алексей</t>
  </si>
  <si>
    <t>3. Барилко Алексей</t>
  </si>
  <si>
    <t>Открытая (06.09.1979)/38</t>
  </si>
  <si>
    <t>122,70</t>
  </si>
  <si>
    <t>ВЕСОВАЯ КАТЕГОРИЯ   140+</t>
  </si>
  <si>
    <t>Зверев Денис</t>
  </si>
  <si>
    <t>1. Зверев Денис</t>
  </si>
  <si>
    <t>Открытая (26.09.1987)/30</t>
  </si>
  <si>
    <t>182,50</t>
  </si>
  <si>
    <t>212,5</t>
  </si>
  <si>
    <t>49,0359</t>
  </si>
  <si>
    <t>60,2630</t>
  </si>
  <si>
    <t>90+</t>
  </si>
  <si>
    <t>50,1330</t>
  </si>
  <si>
    <t>49,5416</t>
  </si>
  <si>
    <t>48,9210</t>
  </si>
  <si>
    <t>46,1495</t>
  </si>
  <si>
    <t>40,0</t>
  </si>
  <si>
    <t>35,1760</t>
  </si>
  <si>
    <t>35,1666</t>
  </si>
  <si>
    <t>57,6756</t>
  </si>
  <si>
    <t>93,5524</t>
  </si>
  <si>
    <t>70,8554</t>
  </si>
  <si>
    <t>125,5440</t>
  </si>
  <si>
    <t>106,0020</t>
  </si>
  <si>
    <t>99,8850</t>
  </si>
  <si>
    <t>93,9300</t>
  </si>
  <si>
    <t>93,6503</t>
  </si>
  <si>
    <t>92,7630</t>
  </si>
  <si>
    <t>92,2250</t>
  </si>
  <si>
    <t>91,8925</t>
  </si>
  <si>
    <t>91,4100</t>
  </si>
  <si>
    <t>90,5612</t>
  </si>
  <si>
    <t>90,0250</t>
  </si>
  <si>
    <t>89,0797</t>
  </si>
  <si>
    <t>86,7720</t>
  </si>
  <si>
    <t>85,1663</t>
  </si>
  <si>
    <t>84,2850</t>
  </si>
  <si>
    <t>81,4060</t>
  </si>
  <si>
    <t>81,1500</t>
  </si>
  <si>
    <t>140+</t>
  </si>
  <si>
    <t>81,0688</t>
  </si>
  <si>
    <t>75,4080</t>
  </si>
  <si>
    <t xml:space="preserve">Мастера 75 - 79 </t>
  </si>
  <si>
    <t>146,2419</t>
  </si>
  <si>
    <t>139,3672</t>
  </si>
  <si>
    <t xml:space="preserve">Мастера 55 - 59 </t>
  </si>
  <si>
    <t>136,7117</t>
  </si>
  <si>
    <t>100,6740</t>
  </si>
  <si>
    <t>97,8727</t>
  </si>
  <si>
    <t>86,0715</t>
  </si>
  <si>
    <t>нАП ЧЕМ СНГ
Любители жим лежа в софт экипировке
Краснодар/Краснодарский край 21 - 22 июля 2018 г.</t>
  </si>
  <si>
    <t>Ляхов Андрей</t>
  </si>
  <si>
    <t>1. Ляхов Андрей</t>
  </si>
  <si>
    <t>Мастера 45 - 49 (14.05.1973)/45</t>
  </si>
  <si>
    <t>73,40</t>
  </si>
  <si>
    <t xml:space="preserve">Сыктывкар/Коми </t>
  </si>
  <si>
    <t>Холявка Евгений</t>
  </si>
  <si>
    <t>1. Холявка Евгений</t>
  </si>
  <si>
    <t>Открытая (25.04.1988)/30</t>
  </si>
  <si>
    <t>80,70</t>
  </si>
  <si>
    <t xml:space="preserve">Горячий Ключ/Краснодарский край </t>
  </si>
  <si>
    <t>202,5</t>
  </si>
  <si>
    <t>202,5e</t>
  </si>
  <si>
    <t>Мацегоров Евгений</t>
  </si>
  <si>
    <t>1. Мацегоров Евгений</t>
  </si>
  <si>
    <t>Открытая (06.05.1986)/32</t>
  </si>
  <si>
    <t xml:space="preserve">Туапсе </t>
  </si>
  <si>
    <t>190,0e</t>
  </si>
  <si>
    <t>Кармирьян Михаил</t>
  </si>
  <si>
    <t>2. Кармирьян Михаил</t>
  </si>
  <si>
    <t>Открытая (09.08.1982)/35</t>
  </si>
  <si>
    <t xml:space="preserve">Туапсе/Краснодарский край </t>
  </si>
  <si>
    <t>-. Щеколкин Антон</t>
  </si>
  <si>
    <t>Юниоры 20 - 23 (26.05.1995)/23</t>
  </si>
  <si>
    <t>96,10</t>
  </si>
  <si>
    <t>267,5</t>
  </si>
  <si>
    <t>Открытая (26.05.1995)/23</t>
  </si>
  <si>
    <t>Осипов Карлен</t>
  </si>
  <si>
    <t>1. Осипов Карлен</t>
  </si>
  <si>
    <t>Открытая (26.08.1972)/45</t>
  </si>
  <si>
    <t>106,10</t>
  </si>
  <si>
    <t xml:space="preserve">Ростов-на-дону </t>
  </si>
  <si>
    <t xml:space="preserve">Осипов карлен петрович </t>
  </si>
  <si>
    <t>Антоненко Валерий</t>
  </si>
  <si>
    <t>2. Антоненко Валерий</t>
  </si>
  <si>
    <t>Открытая (06.01.1987)/31</t>
  </si>
  <si>
    <t>103,30</t>
  </si>
  <si>
    <t>245,0</t>
  </si>
  <si>
    <t>Мастера 45 - 49 (26.08.1972)/45</t>
  </si>
  <si>
    <t>285,0e</t>
  </si>
  <si>
    <t>310,0e</t>
  </si>
  <si>
    <t>162,1610</t>
  </si>
  <si>
    <t>157,1510</t>
  </si>
  <si>
    <t>127,3725</t>
  </si>
  <si>
    <t>230,0</t>
  </si>
  <si>
    <t>125,7870</t>
  </si>
  <si>
    <t>122,9130</t>
  </si>
  <si>
    <t>187,5</t>
  </si>
  <si>
    <t>109,7438</t>
  </si>
  <si>
    <t>164,6942</t>
  </si>
  <si>
    <t>127,5206</t>
  </si>
  <si>
    <t>нАП ЧЕМ СНГ
Любители жим лежа в многослойной экипировке
Краснодар/Краснодарский край 21 - 22 июля 2018 г.</t>
  </si>
  <si>
    <t>-. Алиев Тельман</t>
  </si>
  <si>
    <t>Открытая (04.07.1981)/37</t>
  </si>
  <si>
    <t>110,00</t>
  </si>
  <si>
    <t xml:space="preserve">Горячий Ключ </t>
  </si>
  <si>
    <t>250,0</t>
  </si>
  <si>
    <t xml:space="preserve">Кесаев Э.М. </t>
  </si>
  <si>
    <t>нАП ЧЕМ СНГ
ПРО становая тяга без экипировки
Краснодар/Краснодарский край 21 - 22 июля 2018 г.</t>
  </si>
  <si>
    <t>Жураковский Андрей</t>
  </si>
  <si>
    <t>1. Жураковский Андрей</t>
  </si>
  <si>
    <t>Мастера 40 - 44 (05.06.1977)/41</t>
  </si>
  <si>
    <t>87,60</t>
  </si>
  <si>
    <t>Грушинский Александр</t>
  </si>
  <si>
    <t>2. Грушинский Александр</t>
  </si>
  <si>
    <t>Мастера 40 - 44 (06.02.1975)/43</t>
  </si>
  <si>
    <t>88,50</t>
  </si>
  <si>
    <t xml:space="preserve">Майкоп/Адыгея </t>
  </si>
  <si>
    <t>215,0</t>
  </si>
  <si>
    <t>280,0</t>
  </si>
  <si>
    <t>300,0</t>
  </si>
  <si>
    <t>159,4200</t>
  </si>
  <si>
    <t>137,3067</t>
  </si>
  <si>
    <t>129,4397</t>
  </si>
  <si>
    <t>127,4200</t>
  </si>
  <si>
    <t>нАП ЧЕМ СНГ
ПРО становая тяга в однослойной экипировке
Краснодар/Краснодарский край 21 - 22 июля 2018 г.</t>
  </si>
  <si>
    <t>Банман Виктор</t>
  </si>
  <si>
    <t>1. Банман Виктор</t>
  </si>
  <si>
    <t>Мастера 60 - 64 (18.01.1957)/61</t>
  </si>
  <si>
    <t xml:space="preserve">кондратьев </t>
  </si>
  <si>
    <t>Сизов Андрей</t>
  </si>
  <si>
    <t>1. Сизов Андрей</t>
  </si>
  <si>
    <t>Открытая (29.01.1968)/50</t>
  </si>
  <si>
    <t>99,40</t>
  </si>
  <si>
    <t>287,5e</t>
  </si>
  <si>
    <t>307,5</t>
  </si>
  <si>
    <t>Мастера 50 - 54 (29.01.1968)/50</t>
  </si>
  <si>
    <t>172,2050</t>
  </si>
  <si>
    <t>201,9965</t>
  </si>
  <si>
    <t>197,3088</t>
  </si>
  <si>
    <t>нАП ЧЕМ СНГ
Любители становая тяга без экипировки
Краснодар/Краснодарский край 21 - 22 июля 2018 г.</t>
  </si>
  <si>
    <t>Деркачева Надежда</t>
  </si>
  <si>
    <t>1. Деркачева Надежда</t>
  </si>
  <si>
    <t>Юниорки 20 - 23 (22.03.1995)/23</t>
  </si>
  <si>
    <t>51,00</t>
  </si>
  <si>
    <t xml:space="preserve">Вахтин Аким </t>
  </si>
  <si>
    <t>Семенякина Юлия</t>
  </si>
  <si>
    <t>2. Семенякина Юлия</t>
  </si>
  <si>
    <t>Юниорки 20 - 23 (29.08.1995)/22</t>
  </si>
  <si>
    <t>51,50</t>
  </si>
  <si>
    <t>102,5</t>
  </si>
  <si>
    <t>Бакаева Вероника</t>
  </si>
  <si>
    <t>1. Бакаева Вероника</t>
  </si>
  <si>
    <t>Открытая (24.12.1988)/29</t>
  </si>
  <si>
    <t>51,90</t>
  </si>
  <si>
    <t>87,5</t>
  </si>
  <si>
    <t>Корзун Екатерина</t>
  </si>
  <si>
    <t>1. Корзун Екатерина</t>
  </si>
  <si>
    <t>Открытая (17.06.1983)/35</t>
  </si>
  <si>
    <t>54,10</t>
  </si>
  <si>
    <t>Александрова Светлана</t>
  </si>
  <si>
    <t>2. Александрова Светлана</t>
  </si>
  <si>
    <t>Открытая (16.01.1981)/37</t>
  </si>
  <si>
    <t>55,30</t>
  </si>
  <si>
    <t>Филатова Марина</t>
  </si>
  <si>
    <t>3. Филатова Марина</t>
  </si>
  <si>
    <t>Открытая (19.11.1984)/33</t>
  </si>
  <si>
    <t>55,40</t>
  </si>
  <si>
    <t>-. Калита Наталья</t>
  </si>
  <si>
    <t>Данилова Ольга</t>
  </si>
  <si>
    <t>2. Данилова Ольга</t>
  </si>
  <si>
    <t>Открытая (12.04.1986)/32</t>
  </si>
  <si>
    <t xml:space="preserve">пгт Тульский[4]/Адыгея </t>
  </si>
  <si>
    <t>Гоова Динара</t>
  </si>
  <si>
    <t>1. Гоова Динара</t>
  </si>
  <si>
    <t>Открытая (06.02.1988)/30</t>
  </si>
  <si>
    <t>73,70</t>
  </si>
  <si>
    <t>Ковальская Алла</t>
  </si>
  <si>
    <t>1. Ковальская Алла</t>
  </si>
  <si>
    <t>Мастера 40 - 44 (01.01.1975)/43</t>
  </si>
  <si>
    <t>Кобелева Татьяна</t>
  </si>
  <si>
    <t>1. Кобелева Татьяна</t>
  </si>
  <si>
    <t>Мастера 40 - 44 (06.11.1973)/44</t>
  </si>
  <si>
    <t>79,90</t>
  </si>
  <si>
    <t xml:space="preserve">Ноябрьск/Ямало-Ненецкий авт. окр. </t>
  </si>
  <si>
    <t>117,5e</t>
  </si>
  <si>
    <t>Киреев Виталий</t>
  </si>
  <si>
    <t>1. Киреев Виталий</t>
  </si>
  <si>
    <t>Юноши 14 - 15 (12.04.2007)/11</t>
  </si>
  <si>
    <t>Рулев Александр</t>
  </si>
  <si>
    <t>1. Рулев Александр</t>
  </si>
  <si>
    <t>Юниоры 20 - 23 (13.02.1995)/23</t>
  </si>
  <si>
    <t>73,10</t>
  </si>
  <si>
    <t xml:space="preserve">Батайск/Ростовская область </t>
  </si>
  <si>
    <t>Король Ярослав</t>
  </si>
  <si>
    <t>1. Король Ярослав</t>
  </si>
  <si>
    <t>Открытая (15.05.1990)/28</t>
  </si>
  <si>
    <t>73,80</t>
  </si>
  <si>
    <t>157,5e</t>
  </si>
  <si>
    <t>Читаия Анатолий</t>
  </si>
  <si>
    <t>1. Читаия Анатолий</t>
  </si>
  <si>
    <t>Юниоры 20 - 23 (05.12.1997)/20</t>
  </si>
  <si>
    <t>81,90</t>
  </si>
  <si>
    <t>Кушхов Аслан</t>
  </si>
  <si>
    <t>2. Кушхов Аслан</t>
  </si>
  <si>
    <t>Юниоры 20 - 23 (02.10.1997)/20</t>
  </si>
  <si>
    <t>80,60</t>
  </si>
  <si>
    <t>217,5</t>
  </si>
  <si>
    <t>225,0</t>
  </si>
  <si>
    <t>Тлямитхачев Беслан</t>
  </si>
  <si>
    <t>3. Тлямитхачев Беслан</t>
  </si>
  <si>
    <t>Юниоры 20 - 23 (01.06.1995)/23</t>
  </si>
  <si>
    <t>81,70</t>
  </si>
  <si>
    <t>Открытая (02.10.1997)/20</t>
  </si>
  <si>
    <t>Джураев Габдулла</t>
  </si>
  <si>
    <t>1. Джураев Габдулла</t>
  </si>
  <si>
    <t>Мастера 60 - 64 (22.07.1956)/61</t>
  </si>
  <si>
    <t>78,50</t>
  </si>
  <si>
    <t>Мирзоев Элсевар</t>
  </si>
  <si>
    <t>1. Мирзоев Элсевар</t>
  </si>
  <si>
    <t>Юниоры 20 - 23 (27.11.1994)/23</t>
  </si>
  <si>
    <t>257,5</t>
  </si>
  <si>
    <t>Балкизов Ислам</t>
  </si>
  <si>
    <t>1. Балкизов Ислам</t>
  </si>
  <si>
    <t>Открытая (14.06.1985)/33</t>
  </si>
  <si>
    <t>87,30</t>
  </si>
  <si>
    <t>257,5e</t>
  </si>
  <si>
    <t>2. Мирзоев Элсевар</t>
  </si>
  <si>
    <t>Открытая (27.11.1994)/23</t>
  </si>
  <si>
    <t>3. Кармирьян Михаил</t>
  </si>
  <si>
    <t>Шеховцов Артем</t>
  </si>
  <si>
    <t>1. Шеховцов Артем</t>
  </si>
  <si>
    <t>Открытая (25.01.1985)/33</t>
  </si>
  <si>
    <t>99,20</t>
  </si>
  <si>
    <t>260,0e</t>
  </si>
  <si>
    <t>Макеев Александр</t>
  </si>
  <si>
    <t>2. Макеев Александр</t>
  </si>
  <si>
    <t>Открытая (05.12.1987)/30</t>
  </si>
  <si>
    <t>Кобелев Владислав</t>
  </si>
  <si>
    <t>1. Кобелев Владислав</t>
  </si>
  <si>
    <t>Мастера 50 - 54 (30.01.1968)/50</t>
  </si>
  <si>
    <t xml:space="preserve">Гороховский А. Е. </t>
  </si>
  <si>
    <t>Таловасов Анатолий</t>
  </si>
  <si>
    <t>1. Таловасов Анатолий</t>
  </si>
  <si>
    <t>Мастера 55 - 59 (01.12.1960)/57</t>
  </si>
  <si>
    <t>109,30</t>
  </si>
  <si>
    <t xml:space="preserve">П. тульский </t>
  </si>
  <si>
    <t>Изюмов Андрей</t>
  </si>
  <si>
    <t>1. Изюмов Андрей</t>
  </si>
  <si>
    <t>Открытая (16.09.1991)/26</t>
  </si>
  <si>
    <t>121,70</t>
  </si>
  <si>
    <t>235,0e</t>
  </si>
  <si>
    <t>103,7868</t>
  </si>
  <si>
    <t>87,0430</t>
  </si>
  <si>
    <t>125,5620</t>
  </si>
  <si>
    <t>101,1439</t>
  </si>
  <si>
    <t>120,5260</t>
  </si>
  <si>
    <t>117,2875</t>
  </si>
  <si>
    <t>110,5800</t>
  </si>
  <si>
    <t>110,4120</t>
  </si>
  <si>
    <t>109,6725</t>
  </si>
  <si>
    <t>91,4190</t>
  </si>
  <si>
    <t>87,3765</t>
  </si>
  <si>
    <t>73,1765</t>
  </si>
  <si>
    <t>83,5278</t>
  </si>
  <si>
    <t>73,4945</t>
  </si>
  <si>
    <t>121,9969</t>
  </si>
  <si>
    <t>113,9178</t>
  </si>
  <si>
    <t>60,8260</t>
  </si>
  <si>
    <t>147,4466</t>
  </si>
  <si>
    <t>145,8866</t>
  </si>
  <si>
    <t>141,3360</t>
  </si>
  <si>
    <t>190,0</t>
  </si>
  <si>
    <t>128,8580</t>
  </si>
  <si>
    <t>123,1412</t>
  </si>
  <si>
    <t>155,6800</t>
  </si>
  <si>
    <t>153,5987</t>
  </si>
  <si>
    <t>148,9838</t>
  </si>
  <si>
    <t>270,0</t>
  </si>
  <si>
    <t>141,8310</t>
  </si>
  <si>
    <t>141,6375</t>
  </si>
  <si>
    <t>133,5600</t>
  </si>
  <si>
    <t>114,4100</t>
  </si>
  <si>
    <t>196,3908</t>
  </si>
  <si>
    <t>220,0</t>
  </si>
  <si>
    <t>174,9449</t>
  </si>
  <si>
    <t>138,4128</t>
  </si>
  <si>
    <t>нАП ЧЕМ СНГ
Любители становая тяга в софт экипировке
Краснодар/Краснодарский край 21 - 22 июля 2018 г.</t>
  </si>
  <si>
    <t>1. Барилко Алексей</t>
  </si>
  <si>
    <t>242,5e</t>
  </si>
  <si>
    <t>133,6455</t>
  </si>
  <si>
    <t>нАП ЧЕМ СНГ
Любители становая тяга в однослойной экипировке
Краснодар/Краснодарский край 21 - 22 июля 2018 г.</t>
  </si>
  <si>
    <t>Куликов Станислав</t>
  </si>
  <si>
    <t>1. Куликов Станислав</t>
  </si>
  <si>
    <t>Открытая (29.11.1978)/39</t>
  </si>
  <si>
    <t>97,90</t>
  </si>
  <si>
    <t xml:space="preserve">Саратов/Саратовская область </t>
  </si>
  <si>
    <t>320,0e</t>
  </si>
  <si>
    <t>320,0</t>
  </si>
  <si>
    <t>179,0080</t>
  </si>
  <si>
    <t>нАП ЧЕМ СНГ
ПРО присед без экипировки
Краснодар/Краснодарский край 21 - 22 июля 2018 г.</t>
  </si>
  <si>
    <t>нАП ЧЕМ СНГ
Любители присед без экипировки
Краснодар/Краснодарский край 21 - 22 июля 2018 г.</t>
  </si>
  <si>
    <t>нАП ЧЕМ СНГ
Любители присед в софт экипировке
Краснодар/Краснодарский край 21 - 22 июля 2018 г.</t>
  </si>
  <si>
    <t>82,5720</t>
  </si>
  <si>
    <t>ВЕСОВАЯ КАТЕГОРИЯ   82,5</t>
  </si>
  <si>
    <t>нАП ЧЕМ СНГ
Любители парная тяга
Краснодар/Краснодарский край 21 - 22 июля 2018 г.</t>
  </si>
  <si>
    <t>Тлямитхачев Беслан/Кушхов Аслан</t>
  </si>
  <si>
    <t>81,7/80,6</t>
  </si>
  <si>
    <t>Легион</t>
  </si>
  <si>
    <t>357,5</t>
  </si>
  <si>
    <t>405</t>
  </si>
  <si>
    <t>Нальчик</t>
  </si>
  <si>
    <t>Балкизов Ислам/Мирзоев Элсевар</t>
  </si>
  <si>
    <t>87,3/83,1</t>
  </si>
  <si>
    <t>465</t>
  </si>
  <si>
    <t>Охотин Егор/Красный Дмитрий</t>
  </si>
  <si>
    <t>88,7/81,2</t>
  </si>
  <si>
    <t>380</t>
  </si>
  <si>
    <t>420</t>
  </si>
  <si>
    <t>14.06.1985 | 33/27.11.1994 | 23</t>
  </si>
  <si>
    <t>01.06.1995 | 23/02.10.1997 | 20</t>
  </si>
  <si>
    <t>8,10,1990| 27/26,05,1990| 28</t>
  </si>
  <si>
    <t>Сочи</t>
  </si>
  <si>
    <t>Повторы</t>
  </si>
  <si>
    <t>Вес</t>
  </si>
  <si>
    <t>Тоннаж</t>
  </si>
  <si>
    <t>Жим мн. повт.</t>
  </si>
  <si>
    <t>Открытый Чемпионат СНГ рж
Русский жим любители 150 кг.
Краснодар/Краснодарский край 19 - 21 июля 2018 г.</t>
  </si>
  <si>
    <t>Открытый Чемпионат СНГ рж
Русский жим любители 100 кг.
Краснодар/Краснодарский край 19 - 21 июля 2018 г.</t>
  </si>
  <si>
    <t>Открытый Чемпионат СНГ рж
Русский жим любители 75 кг.
Краснодар/Краснодарский край 19 - 21 июля 2018 г.</t>
  </si>
  <si>
    <t>43,9075</t>
  </si>
  <si>
    <t>4180,0</t>
  </si>
  <si>
    <t>All</t>
  </si>
  <si>
    <t>Кобилинский Демьян</t>
  </si>
  <si>
    <t xml:space="preserve">Атлетизм </t>
  </si>
  <si>
    <t>76,0</t>
  </si>
  <si>
    <t>95,20</t>
  </si>
  <si>
    <t>Открытая (12.03.1991)/27</t>
  </si>
  <si>
    <t>1. Кобилинский Демьян</t>
  </si>
  <si>
    <t>ВЕСОВАЯ КАТЕГОРИЯ   All</t>
  </si>
  <si>
    <t>Атлетизм</t>
  </si>
  <si>
    <t>Открытый Чемпионат СНГ рж
Русский жим любители 55 кг.
Краснодар/Краснодарский край 19 - 21 июля 2018 г.</t>
  </si>
  <si>
    <t>20,2531</t>
  </si>
  <si>
    <t>1120,0</t>
  </si>
  <si>
    <t>32,0</t>
  </si>
  <si>
    <t>1. Александрова Светлана</t>
  </si>
  <si>
    <t>Открытый Чемпионат СНГ рж
Русский жим любители 35 кг.
Краснодар/Краснодарский край 19 - 21 июля 2018 г.</t>
  </si>
  <si>
    <t>Открытый Чемпионат СНГ рж
Русский жим профессионалы 150 кг.
Краснодар/Краснодарский край 19 - 21 июля 2018 г.</t>
  </si>
  <si>
    <t>34,0670</t>
  </si>
  <si>
    <t>3250,0</t>
  </si>
  <si>
    <t>Супруненко Владислав</t>
  </si>
  <si>
    <t>26,0</t>
  </si>
  <si>
    <t xml:space="preserve">Миллерово/Ростовская область </t>
  </si>
  <si>
    <t>95,40</t>
  </si>
  <si>
    <t>Открытая (15.02.1989)/29</t>
  </si>
  <si>
    <t>1. Супруненко Владислав</t>
  </si>
  <si>
    <t>Открытый Чемпионат СНГ рж
Русский жим профессионалы 125 кг.
Краснодар/Краснодарский край 19 - 21 июля 2018 г.</t>
  </si>
  <si>
    <t>39,8886</t>
  </si>
  <si>
    <t>4300,0</t>
  </si>
  <si>
    <t xml:space="preserve">Мастера 50 - 59 </t>
  </si>
  <si>
    <t>Скляр Олег</t>
  </si>
  <si>
    <t>17,2131</t>
  </si>
  <si>
    <t>2100,0</t>
  </si>
  <si>
    <t>Доронин Анатолий</t>
  </si>
  <si>
    <t>43,0</t>
  </si>
  <si>
    <t>107,80</t>
  </si>
  <si>
    <t>Мастера 50 - 59 (21.06.1966)/52</t>
  </si>
  <si>
    <t>1. Скляр Олег</t>
  </si>
  <si>
    <t>Мастера 40 - 49 (05.06.1977)/41</t>
  </si>
  <si>
    <t>-. Жураковский Андрей</t>
  </si>
  <si>
    <t xml:space="preserve">Крылов </t>
  </si>
  <si>
    <t>21,0</t>
  </si>
  <si>
    <t>122,00</t>
  </si>
  <si>
    <t>Открытая (12.06.1982)/36</t>
  </si>
  <si>
    <t>1. Доронин Анатолий</t>
  </si>
  <si>
    <t>Открытый Чемпионат СНГ рж
Русский жим профессионалы 100 кг.
Краснодар/Краснодарский край 19 - 21 июля 2018 г.</t>
  </si>
  <si>
    <t>Открытый Чемпионат СНГ рж
Русский жим профессионалы 75 кг.
Краснодар/Краснодарский край 19 - 21 июля 2018 г.</t>
  </si>
  <si>
    <t>22,0000</t>
  </si>
  <si>
    <t>1980,0</t>
  </si>
  <si>
    <t xml:space="preserve">Мастера 60+ </t>
  </si>
  <si>
    <t>36,0</t>
  </si>
  <si>
    <t>Мастера 60+ (30.04.1954)/64</t>
  </si>
  <si>
    <t>Открытый Чемпионат СНГ рж
Русский жим профессионалы 55 кг.
Краснодар/Краснодарский край 19 - 21 июля 2018 г.</t>
  </si>
  <si>
    <t>Открытый Чемпионат СНГ рж
Русский жим профессионалы 35 кг.
Краснодар/Краснодарский край 19 - 21 июля 2018 г.</t>
  </si>
  <si>
    <t>2160</t>
  </si>
  <si>
    <t>48,0e</t>
  </si>
  <si>
    <t>45</t>
  </si>
  <si>
    <t>57,00</t>
  </si>
  <si>
    <t>Мастера 50 - 54 (28.01.1967)/51</t>
  </si>
  <si>
    <t>1. Скляр Наталья</t>
  </si>
  <si>
    <t>НАП Н.Ж.</t>
  </si>
  <si>
    <t>народный жим снг новые
Профессионалы народный жим (1/2 вес)
Краснодар/Краснодарский край 20 - 21 июля 2018 г.</t>
  </si>
  <si>
    <t>1055,9520</t>
  </si>
  <si>
    <t>1440,0</t>
  </si>
  <si>
    <t>1845,4222</t>
  </si>
  <si>
    <t>2247,5</t>
  </si>
  <si>
    <t>Мазурин Александр</t>
  </si>
  <si>
    <t>1919,4084</t>
  </si>
  <si>
    <t>2755,0</t>
  </si>
  <si>
    <t>Захаров Владимир</t>
  </si>
  <si>
    <t xml:space="preserve">НАП Н.Ж. </t>
  </si>
  <si>
    <t>2496,2911</t>
  </si>
  <si>
    <t>3045,0</t>
  </si>
  <si>
    <t>2767,3874</t>
  </si>
  <si>
    <t>3792,5</t>
  </si>
  <si>
    <t>Дегтярев Максим</t>
  </si>
  <si>
    <t>3147,4170</t>
  </si>
  <si>
    <t>4410,0</t>
  </si>
  <si>
    <t>Топольсков Вадим</t>
  </si>
  <si>
    <t>29,0</t>
  </si>
  <si>
    <t>95,00</t>
  </si>
  <si>
    <t>Мастера 60 - 64 (07.07.1955)/63</t>
  </si>
  <si>
    <t>1. Захаров Владимир</t>
  </si>
  <si>
    <t>Открытая (07.07.1955)/63</t>
  </si>
  <si>
    <t>2. Захаров Владимир</t>
  </si>
  <si>
    <t>41,0</t>
  </si>
  <si>
    <t>92,5</t>
  </si>
  <si>
    <t>90,70</t>
  </si>
  <si>
    <t>Открытая (09.09.1993)/24</t>
  </si>
  <si>
    <t>1. Дегтярев Максим</t>
  </si>
  <si>
    <t>16,0</t>
  </si>
  <si>
    <t>49,0</t>
  </si>
  <si>
    <t>Открытая (09.10.1987)/30</t>
  </si>
  <si>
    <t>1. Топольсков Вадим</t>
  </si>
  <si>
    <t>77,5e</t>
  </si>
  <si>
    <t>76,00</t>
  </si>
  <si>
    <t>Мастера 45 - 49 (24.05.1972)/46</t>
  </si>
  <si>
    <t>1. Мазурин Александр</t>
  </si>
  <si>
    <t>42,0</t>
  </si>
  <si>
    <t>72,5e</t>
  </si>
  <si>
    <t>Открытая (21.04.2001)/17</t>
  </si>
  <si>
    <t>народный жим снг новые
Профессионалы народный жим (1 вес)
Краснодар/Краснодарский край 20 - 21 июля 2018 г.</t>
  </si>
  <si>
    <t>1036,0900</t>
  </si>
  <si>
    <t>1100,0</t>
  </si>
  <si>
    <t>2430,0</t>
  </si>
  <si>
    <t>54,0</t>
  </si>
  <si>
    <t>1375</t>
  </si>
  <si>
    <t>27,5</t>
  </si>
  <si>
    <t>27,5e</t>
  </si>
  <si>
    <t>народный жим снг новые
Любители народный жим (1/2 вес)
Краснодар/Краснодарский край 20 - 21 июля 2018 г.</t>
  </si>
  <si>
    <t>1566,0001</t>
  </si>
  <si>
    <t>2160,0</t>
  </si>
  <si>
    <t>Кучеренко Антон</t>
  </si>
  <si>
    <t>3476,3581</t>
  </si>
  <si>
    <t>4860,0</t>
  </si>
  <si>
    <t>1389,7801</t>
  </si>
  <si>
    <t>1598,2201</t>
  </si>
  <si>
    <t>2340,0</t>
  </si>
  <si>
    <t>1669,5280</t>
  </si>
  <si>
    <t>1960,0</t>
  </si>
  <si>
    <t>Ирхин Алексей</t>
  </si>
  <si>
    <t>1689,9870</t>
  </si>
  <si>
    <t>2210,0</t>
  </si>
  <si>
    <t>Дорохов Евгений</t>
  </si>
  <si>
    <t>1711,9440</t>
  </si>
  <si>
    <t>1853,0401</t>
  </si>
  <si>
    <t>2800,0</t>
  </si>
  <si>
    <t>1892,2501</t>
  </si>
  <si>
    <t>2610,0</t>
  </si>
  <si>
    <t>Куковякин Дмитрий</t>
  </si>
  <si>
    <t>1976,7824</t>
  </si>
  <si>
    <t>2475,0</t>
  </si>
  <si>
    <t>Оржубеков Ренат</t>
  </si>
  <si>
    <t>2076,1920</t>
  </si>
  <si>
    <t>2880,0</t>
  </si>
  <si>
    <t>2189,7525</t>
  </si>
  <si>
    <t>2775,0</t>
  </si>
  <si>
    <t>2645,4750</t>
  </si>
  <si>
    <t>2625,0</t>
  </si>
  <si>
    <t>3. Доронин Игорь</t>
  </si>
  <si>
    <t>24,0</t>
  </si>
  <si>
    <t>2. Давыдов Денис</t>
  </si>
  <si>
    <t>28,0</t>
  </si>
  <si>
    <t xml:space="preserve">Таганрог/Ростовская область </t>
  </si>
  <si>
    <t>88,60</t>
  </si>
  <si>
    <t>Мастера 40 - 44 (04.11.1976)/41</t>
  </si>
  <si>
    <t>1. Кучеренко Антон</t>
  </si>
  <si>
    <t xml:space="preserve">Варданян Дмитрий </t>
  </si>
  <si>
    <t>84,00</t>
  </si>
  <si>
    <t>Открытая (17.09.1985)/32</t>
  </si>
  <si>
    <t>4. Дорохов Евгений</t>
  </si>
  <si>
    <t>3. Ушаков Владислав</t>
  </si>
  <si>
    <t>Открытая (29.09.1979)/38</t>
  </si>
  <si>
    <t>2. Куковякин Дмитрий</t>
  </si>
  <si>
    <t>69,30</t>
  </si>
  <si>
    <t>Открытая (08.02.1989)/29</t>
  </si>
  <si>
    <t>3. Ирхин Алексей</t>
  </si>
  <si>
    <t>33,0</t>
  </si>
  <si>
    <t>2. Оржубеков Ренат</t>
  </si>
  <si>
    <t>37,0</t>
  </si>
  <si>
    <t>народный жим снг новые
Любители народный жим (1 вес)
Краснодар/Краснодарский край 20 - 21 июля 2018 г.</t>
  </si>
  <si>
    <t>107,20</t>
  </si>
  <si>
    <t>Мастера 50 - 54 (23.02.1965)/53</t>
  </si>
  <si>
    <t>-. Миннеахметов Рафаил</t>
  </si>
  <si>
    <t>Подъем на бицепс</t>
  </si>
  <si>
    <t>Армейский жим</t>
  </si>
  <si>
    <t>Собственный
вес</t>
  </si>
  <si>
    <t>Открытый Чемпионат СНГ пауэрспорт
Профессионалы
Краснодар/Краснодарский край 19 - 21 июля 2018 г.</t>
  </si>
  <si>
    <t>71,1195</t>
  </si>
  <si>
    <t>Карцаев Альберт</t>
  </si>
  <si>
    <t>85,6950</t>
  </si>
  <si>
    <t>88,6215</t>
  </si>
  <si>
    <t>Киреев Роман</t>
  </si>
  <si>
    <t>90,4075</t>
  </si>
  <si>
    <t>Акопян Артур</t>
  </si>
  <si>
    <t>92,7950</t>
  </si>
  <si>
    <t>93,8955</t>
  </si>
  <si>
    <t xml:space="preserve">г. Россошь </t>
  </si>
  <si>
    <t>109,50</t>
  </si>
  <si>
    <t>Открытая (13.10.1979)/38</t>
  </si>
  <si>
    <t>1. Киреев Роман</t>
  </si>
  <si>
    <t>98,50</t>
  </si>
  <si>
    <t>Открытая (30.06.1985)/33</t>
  </si>
  <si>
    <t>2. Карцаев Альберт</t>
  </si>
  <si>
    <t>1. Доронин Игорь</t>
  </si>
  <si>
    <t>1. Куковякин Дмитрий</t>
  </si>
  <si>
    <t>77,5</t>
  </si>
  <si>
    <t>Открытая (14.12.1993)/24</t>
  </si>
  <si>
    <t>1. Акопян Артур</t>
  </si>
  <si>
    <t>80,00</t>
  </si>
  <si>
    <t>Юноши 18 - 19 (05.05.1999)/19</t>
  </si>
  <si>
    <t>-. Нарышкин Кирилл</t>
  </si>
  <si>
    <t>Открытый Чемпионат СНГ пауэрспорт
Любители
Краснодар/Краснодарский край 19 - 21 июля 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</si>
</sst>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sz val="11"/>
      <name val="Arial Cyr"/>
      <family val="0"/>
    </font>
    <font>
      <sz val="24"/>
      <name val="Arial Cyr"/>
      <family val="2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left" indent="1"/>
    </xf>
    <xf numFmtId="49" fontId="31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5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889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/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6" ht="15">
      <c r="E6" s="6" t="s">
        <v>12</v>
      </c>
    </row>
    <row r="7" ht="15">
      <c r="E7" s="6" t="s">
        <v>13</v>
      </c>
    </row>
    <row r="8" ht="15">
      <c r="E8" s="6" t="s">
        <v>14</v>
      </c>
    </row>
    <row r="9" ht="15">
      <c r="E9" s="6" t="s">
        <v>15</v>
      </c>
    </row>
    <row r="10" ht="15">
      <c r="E10" s="6" t="s">
        <v>15</v>
      </c>
    </row>
    <row r="11" ht="15">
      <c r="E11" s="6" t="s">
        <v>16</v>
      </c>
    </row>
    <row r="12" ht="15">
      <c r="E12" s="6"/>
    </row>
    <row r="14" spans="1:2" ht="18">
      <c r="A14" s="7" t="s">
        <v>17</v>
      </c>
      <c r="B14" s="7"/>
    </row>
  </sheetData>
  <sheetProtection/>
  <mergeCells count="11">
    <mergeCell ref="F3:F4"/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9.75390625" style="5" bestFit="1" customWidth="1"/>
    <col min="7" max="8" width="6.625" style="4" bestFit="1" customWidth="1"/>
    <col min="9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40" t="s">
        <v>669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3</v>
      </c>
      <c r="H3" s="34"/>
      <c r="I3" s="34"/>
      <c r="J3" s="34"/>
      <c r="K3" s="34" t="s">
        <v>295</v>
      </c>
      <c r="L3" s="34" t="s">
        <v>6</v>
      </c>
      <c r="M3" s="36" t="s">
        <v>5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5"/>
      <c r="M4" s="37"/>
    </row>
    <row r="5" spans="1:12" ht="15">
      <c r="A5" s="38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2.75">
      <c r="A6" s="17" t="s">
        <v>671</v>
      </c>
      <c r="B6" s="17" t="s">
        <v>672</v>
      </c>
      <c r="C6" s="17" t="s">
        <v>673</v>
      </c>
      <c r="D6" s="17" t="str">
        <f>"0,5952"</f>
        <v>0,5952</v>
      </c>
      <c r="E6" s="17" t="s">
        <v>25</v>
      </c>
      <c r="F6" s="17" t="s">
        <v>138</v>
      </c>
      <c r="G6" s="18" t="s">
        <v>205</v>
      </c>
      <c r="H6" s="18" t="s">
        <v>48</v>
      </c>
      <c r="I6" s="19" t="s">
        <v>223</v>
      </c>
      <c r="J6" s="19"/>
      <c r="K6" s="17" t="str">
        <f>"230,0"</f>
        <v>230,0</v>
      </c>
      <c r="L6" s="18" t="str">
        <f>"137,3067"</f>
        <v>137,3067</v>
      </c>
      <c r="M6" s="17" t="s">
        <v>49</v>
      </c>
    </row>
    <row r="7" spans="1:13" ht="12.75">
      <c r="A7" s="20" t="s">
        <v>675</v>
      </c>
      <c r="B7" s="20" t="s">
        <v>676</v>
      </c>
      <c r="C7" s="20" t="s">
        <v>677</v>
      </c>
      <c r="D7" s="20" t="str">
        <f>"0,5914"</f>
        <v>0,5914</v>
      </c>
      <c r="E7" s="20" t="s">
        <v>25</v>
      </c>
      <c r="F7" s="20" t="s">
        <v>678</v>
      </c>
      <c r="G7" s="21" t="s">
        <v>46</v>
      </c>
      <c r="H7" s="21" t="s">
        <v>679</v>
      </c>
      <c r="I7" s="22" t="s">
        <v>464</v>
      </c>
      <c r="J7" s="22"/>
      <c r="K7" s="20" t="str">
        <f>"215,0"</f>
        <v>215,0</v>
      </c>
      <c r="L7" s="21" t="str">
        <f>"129,4397"</f>
        <v>129,4397</v>
      </c>
      <c r="M7" s="20" t="s">
        <v>49</v>
      </c>
    </row>
    <row r="9" spans="1:12" ht="15">
      <c r="A9" s="49" t="s">
        <v>37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3" ht="12.75">
      <c r="A10" s="8" t="s">
        <v>349</v>
      </c>
      <c r="B10" s="8" t="s">
        <v>350</v>
      </c>
      <c r="C10" s="8" t="s">
        <v>351</v>
      </c>
      <c r="D10" s="8" t="str">
        <f>"0,5540"</f>
        <v>0,5540</v>
      </c>
      <c r="E10" s="8" t="s">
        <v>25</v>
      </c>
      <c r="F10" s="8" t="s">
        <v>26</v>
      </c>
      <c r="G10" s="9" t="s">
        <v>205</v>
      </c>
      <c r="H10" s="9" t="s">
        <v>48</v>
      </c>
      <c r="I10" s="10" t="s">
        <v>270</v>
      </c>
      <c r="J10" s="10"/>
      <c r="K10" s="8" t="str">
        <f>"230,0"</f>
        <v>230,0</v>
      </c>
      <c r="L10" s="9" t="str">
        <f>"127,4200"</f>
        <v>127,4200</v>
      </c>
      <c r="M10" s="8" t="s">
        <v>49</v>
      </c>
    </row>
    <row r="12" spans="1:12" ht="15">
      <c r="A12" s="49" t="s">
        <v>50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3" ht="12.75">
      <c r="A13" s="8" t="s">
        <v>52</v>
      </c>
      <c r="B13" s="8" t="s">
        <v>53</v>
      </c>
      <c r="C13" s="8" t="s">
        <v>54</v>
      </c>
      <c r="D13" s="8" t="str">
        <f>"0,5314"</f>
        <v>0,5314</v>
      </c>
      <c r="E13" s="8" t="s">
        <v>25</v>
      </c>
      <c r="F13" s="8" t="s">
        <v>55</v>
      </c>
      <c r="G13" s="9" t="s">
        <v>680</v>
      </c>
      <c r="H13" s="9" t="s">
        <v>681</v>
      </c>
      <c r="I13" s="10"/>
      <c r="J13" s="10"/>
      <c r="K13" s="8" t="str">
        <f>"300,0"</f>
        <v>300,0</v>
      </c>
      <c r="L13" s="9" t="str">
        <f>"159,4200"</f>
        <v>159,4200</v>
      </c>
      <c r="M13" s="8" t="s">
        <v>49</v>
      </c>
    </row>
    <row r="15" ht="15">
      <c r="E15" s="6" t="s">
        <v>12</v>
      </c>
    </row>
    <row r="16" ht="15">
      <c r="E16" s="6" t="s">
        <v>13</v>
      </c>
    </row>
    <row r="17" ht="15">
      <c r="E17" s="6" t="s">
        <v>14</v>
      </c>
    </row>
    <row r="18" ht="15">
      <c r="E18" s="6" t="s">
        <v>15</v>
      </c>
    </row>
    <row r="19" ht="15">
      <c r="E19" s="6" t="s">
        <v>15</v>
      </c>
    </row>
    <row r="20" ht="15">
      <c r="E20" s="6" t="s">
        <v>16</v>
      </c>
    </row>
    <row r="21" ht="15">
      <c r="E21" s="6"/>
    </row>
    <row r="23" spans="1:2" ht="18">
      <c r="A23" s="7" t="s">
        <v>17</v>
      </c>
      <c r="B23" s="7"/>
    </row>
    <row r="24" spans="1:2" ht="15">
      <c r="A24" s="11" t="s">
        <v>61</v>
      </c>
      <c r="B24" s="11"/>
    </row>
    <row r="25" spans="1:2" ht="14.25">
      <c r="A25" s="13"/>
      <c r="B25" s="14" t="s">
        <v>62</v>
      </c>
    </row>
    <row r="26" spans="1:5" ht="15">
      <c r="A26" s="15" t="s">
        <v>63</v>
      </c>
      <c r="B26" s="15" t="s">
        <v>64</v>
      </c>
      <c r="C26" s="15" t="s">
        <v>65</v>
      </c>
      <c r="D26" s="15" t="s">
        <v>66</v>
      </c>
      <c r="E26" s="15" t="s">
        <v>67</v>
      </c>
    </row>
    <row r="27" spans="1:5" ht="12.75">
      <c r="A27" s="12" t="s">
        <v>51</v>
      </c>
      <c r="B27" s="5" t="s">
        <v>62</v>
      </c>
      <c r="C27" s="5" t="s">
        <v>68</v>
      </c>
      <c r="D27" s="5" t="s">
        <v>681</v>
      </c>
      <c r="E27" s="16" t="s">
        <v>682</v>
      </c>
    </row>
    <row r="29" spans="1:2" ht="14.25">
      <c r="A29" s="13"/>
      <c r="B29" s="14" t="s">
        <v>268</v>
      </c>
    </row>
    <row r="30" spans="1:5" ht="15">
      <c r="A30" s="15" t="s">
        <v>63</v>
      </c>
      <c r="B30" s="15" t="s">
        <v>64</v>
      </c>
      <c r="C30" s="15" t="s">
        <v>65</v>
      </c>
      <c r="D30" s="15" t="s">
        <v>66</v>
      </c>
      <c r="E30" s="15" t="s">
        <v>67</v>
      </c>
    </row>
    <row r="31" spans="1:5" ht="12.75">
      <c r="A31" s="12" t="s">
        <v>670</v>
      </c>
      <c r="B31" s="5" t="s">
        <v>269</v>
      </c>
      <c r="C31" s="5" t="s">
        <v>71</v>
      </c>
      <c r="D31" s="5" t="s">
        <v>655</v>
      </c>
      <c r="E31" s="16" t="s">
        <v>683</v>
      </c>
    </row>
    <row r="32" spans="1:5" ht="12.75">
      <c r="A32" s="12" t="s">
        <v>674</v>
      </c>
      <c r="B32" s="5" t="s">
        <v>269</v>
      </c>
      <c r="C32" s="5" t="s">
        <v>71</v>
      </c>
      <c r="D32" s="5" t="s">
        <v>679</v>
      </c>
      <c r="E32" s="16" t="s">
        <v>684</v>
      </c>
    </row>
    <row r="33" spans="1:5" ht="12.75">
      <c r="A33" s="12" t="s">
        <v>348</v>
      </c>
      <c r="B33" s="5" t="s">
        <v>269</v>
      </c>
      <c r="C33" s="5" t="s">
        <v>74</v>
      </c>
      <c r="D33" s="5" t="s">
        <v>655</v>
      </c>
      <c r="E33" s="16" t="s">
        <v>685</v>
      </c>
    </row>
  </sheetData>
  <sheetProtection/>
  <mergeCells count="14">
    <mergeCell ref="A9:L9"/>
    <mergeCell ref="A12:L12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9.25390625" style="5" bestFit="1" customWidth="1"/>
    <col min="5" max="5" width="22.75390625" style="5" bestFit="1" customWidth="1"/>
    <col min="6" max="6" width="17.25390625" style="5" bestFit="1" customWidth="1"/>
    <col min="7" max="8" width="5.625" style="4" bestFit="1" customWidth="1"/>
    <col min="9" max="9" width="2.125" style="4" bestFit="1" customWidth="1"/>
    <col min="10" max="10" width="4.875" style="4" bestFit="1" customWidth="1"/>
    <col min="11" max="11" width="7.875" style="5" bestFit="1" customWidth="1"/>
    <col min="12" max="12" width="6.625" style="4" bestFit="1" customWidth="1"/>
    <col min="13" max="13" width="12.25390625" style="5" bestFit="1" customWidth="1"/>
    <col min="14" max="16384" width="9.125" style="4" customWidth="1"/>
  </cols>
  <sheetData>
    <row r="1" spans="1:13" s="3" customFormat="1" ht="28.5" customHeight="1">
      <c r="A1" s="40" t="s">
        <v>662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2</v>
      </c>
      <c r="H3" s="34"/>
      <c r="I3" s="34"/>
      <c r="J3" s="34"/>
      <c r="K3" s="34" t="s">
        <v>295</v>
      </c>
      <c r="L3" s="34" t="s">
        <v>6</v>
      </c>
      <c r="M3" s="36" t="s">
        <v>5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5"/>
      <c r="M4" s="37"/>
    </row>
    <row r="5" spans="1:12" ht="15">
      <c r="A5" s="38" t="s">
        <v>541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2.75">
      <c r="A6" s="8" t="s">
        <v>663</v>
      </c>
      <c r="B6" s="8" t="s">
        <v>664</v>
      </c>
      <c r="C6" s="8" t="s">
        <v>665</v>
      </c>
      <c r="D6" s="8" t="str">
        <f>"0,5365"</f>
        <v>0,5365</v>
      </c>
      <c r="E6" s="8" t="s">
        <v>25</v>
      </c>
      <c r="F6" s="8" t="s">
        <v>666</v>
      </c>
      <c r="G6" s="10" t="s">
        <v>667</v>
      </c>
      <c r="H6" s="10" t="s">
        <v>667</v>
      </c>
      <c r="I6" s="10"/>
      <c r="J6" s="10"/>
      <c r="K6" s="8" t="str">
        <f>"0.00"</f>
        <v>0.00</v>
      </c>
      <c r="L6" s="9" t="str">
        <f>"0,0000"</f>
        <v>0,0000</v>
      </c>
      <c r="M6" s="8" t="s">
        <v>668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33.375" style="5" bestFit="1" customWidth="1"/>
    <col min="7" max="9" width="6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23.125" style="5" bestFit="1" customWidth="1"/>
    <col min="14" max="16384" width="9.125" style="4" customWidth="1"/>
  </cols>
  <sheetData>
    <row r="1" spans="1:13" s="3" customFormat="1" ht="28.5" customHeight="1">
      <c r="A1" s="40" t="s">
        <v>611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2</v>
      </c>
      <c r="H3" s="34"/>
      <c r="I3" s="34"/>
      <c r="J3" s="34"/>
      <c r="K3" s="34" t="s">
        <v>295</v>
      </c>
      <c r="L3" s="34" t="s">
        <v>6</v>
      </c>
      <c r="M3" s="36" t="s">
        <v>5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5"/>
      <c r="M4" s="37"/>
    </row>
    <row r="5" spans="1:12" ht="15">
      <c r="A5" s="38" t="s">
        <v>188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2.75">
      <c r="A6" s="8" t="s">
        <v>613</v>
      </c>
      <c r="B6" s="8" t="s">
        <v>614</v>
      </c>
      <c r="C6" s="8" t="s">
        <v>615</v>
      </c>
      <c r="D6" s="8" t="str">
        <f>"0,6760"</f>
        <v>0,6760</v>
      </c>
      <c r="E6" s="8" t="s">
        <v>25</v>
      </c>
      <c r="F6" s="8" t="s">
        <v>616</v>
      </c>
      <c r="G6" s="10" t="s">
        <v>330</v>
      </c>
      <c r="H6" s="9" t="s">
        <v>58</v>
      </c>
      <c r="I6" s="9" t="s">
        <v>43</v>
      </c>
      <c r="J6" s="10"/>
      <c r="K6" s="8" t="str">
        <f>"180,0"</f>
        <v>180,0</v>
      </c>
      <c r="L6" s="9" t="str">
        <f>"127,5206"</f>
        <v>127,5206</v>
      </c>
      <c r="M6" s="8" t="s">
        <v>49</v>
      </c>
    </row>
    <row r="8" spans="1:12" ht="15">
      <c r="A8" s="49" t="s">
        <v>180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8" t="s">
        <v>618</v>
      </c>
      <c r="B9" s="8" t="s">
        <v>619</v>
      </c>
      <c r="C9" s="8" t="s">
        <v>620</v>
      </c>
      <c r="D9" s="8" t="str">
        <f>"0,6290"</f>
        <v>0,6290</v>
      </c>
      <c r="E9" s="8" t="s">
        <v>25</v>
      </c>
      <c r="F9" s="8" t="s">
        <v>621</v>
      </c>
      <c r="G9" s="10" t="s">
        <v>622</v>
      </c>
      <c r="H9" s="10" t="s">
        <v>622</v>
      </c>
      <c r="I9" s="9" t="s">
        <v>623</v>
      </c>
      <c r="J9" s="10"/>
      <c r="K9" s="8" t="str">
        <f>"202,5"</f>
        <v>202,5</v>
      </c>
      <c r="L9" s="9" t="str">
        <f>"127,3725"</f>
        <v>127,3725</v>
      </c>
      <c r="M9" s="8" t="s">
        <v>49</v>
      </c>
    </row>
    <row r="11" spans="1:12" ht="15">
      <c r="A11" s="49" t="s">
        <v>20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17" t="s">
        <v>625</v>
      </c>
      <c r="B12" s="17" t="s">
        <v>626</v>
      </c>
      <c r="C12" s="17" t="s">
        <v>339</v>
      </c>
      <c r="D12" s="17" t="str">
        <f>"0,5853"</f>
        <v>0,5853</v>
      </c>
      <c r="E12" s="17" t="s">
        <v>25</v>
      </c>
      <c r="F12" s="17" t="s">
        <v>627</v>
      </c>
      <c r="G12" s="18" t="s">
        <v>628</v>
      </c>
      <c r="H12" s="18" t="s">
        <v>46</v>
      </c>
      <c r="I12" s="18" t="s">
        <v>29</v>
      </c>
      <c r="J12" s="19"/>
      <c r="K12" s="17" t="str">
        <f>"210,0"</f>
        <v>210,0</v>
      </c>
      <c r="L12" s="18" t="str">
        <f>"122,9130"</f>
        <v>122,9130</v>
      </c>
      <c r="M12" s="17" t="s">
        <v>49</v>
      </c>
    </row>
    <row r="13" spans="1:13" ht="12.75">
      <c r="A13" s="20" t="s">
        <v>630</v>
      </c>
      <c r="B13" s="20" t="s">
        <v>631</v>
      </c>
      <c r="C13" s="20" t="s">
        <v>339</v>
      </c>
      <c r="D13" s="20" t="str">
        <f>"0,5853"</f>
        <v>0,5853</v>
      </c>
      <c r="E13" s="20" t="s">
        <v>25</v>
      </c>
      <c r="F13" s="20" t="s">
        <v>632</v>
      </c>
      <c r="G13" s="21" t="s">
        <v>219</v>
      </c>
      <c r="H13" s="21" t="s">
        <v>44</v>
      </c>
      <c r="I13" s="22" t="s">
        <v>45</v>
      </c>
      <c r="J13" s="22"/>
      <c r="K13" s="20" t="str">
        <f>"187,5"</f>
        <v>187,5</v>
      </c>
      <c r="L13" s="21" t="str">
        <f>"109,7438"</f>
        <v>109,7438</v>
      </c>
      <c r="M13" s="20" t="s">
        <v>49</v>
      </c>
    </row>
    <row r="15" spans="1:12" ht="15">
      <c r="A15" s="49" t="s">
        <v>37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3" ht="12.75">
      <c r="A16" s="17" t="s">
        <v>633</v>
      </c>
      <c r="B16" s="17" t="s">
        <v>634</v>
      </c>
      <c r="C16" s="17" t="s">
        <v>635</v>
      </c>
      <c r="D16" s="17" t="str">
        <f>"0,5645"</f>
        <v>0,5645</v>
      </c>
      <c r="E16" s="17" t="s">
        <v>25</v>
      </c>
      <c r="F16" s="17" t="s">
        <v>397</v>
      </c>
      <c r="G16" s="19" t="s">
        <v>636</v>
      </c>
      <c r="H16" s="19" t="s">
        <v>636</v>
      </c>
      <c r="I16" s="19" t="s">
        <v>636</v>
      </c>
      <c r="J16" s="19"/>
      <c r="K16" s="17" t="str">
        <f>"0.00"</f>
        <v>0.00</v>
      </c>
      <c r="L16" s="18" t="str">
        <f>"0,0000"</f>
        <v>0,0000</v>
      </c>
      <c r="M16" s="17" t="s">
        <v>49</v>
      </c>
    </row>
    <row r="17" spans="1:13" ht="12.75">
      <c r="A17" s="20" t="s">
        <v>633</v>
      </c>
      <c r="B17" s="20" t="s">
        <v>637</v>
      </c>
      <c r="C17" s="20" t="s">
        <v>635</v>
      </c>
      <c r="D17" s="20" t="str">
        <f>"0,5645"</f>
        <v>0,5645</v>
      </c>
      <c r="E17" s="20" t="s">
        <v>25</v>
      </c>
      <c r="F17" s="20" t="s">
        <v>397</v>
      </c>
      <c r="G17" s="22" t="s">
        <v>636</v>
      </c>
      <c r="H17" s="22" t="s">
        <v>636</v>
      </c>
      <c r="I17" s="22" t="s">
        <v>636</v>
      </c>
      <c r="J17" s="22"/>
      <c r="K17" s="20" t="str">
        <f>"0.00"</f>
        <v>0.00</v>
      </c>
      <c r="L17" s="21" t="str">
        <f>"0,0000"</f>
        <v>0,0000</v>
      </c>
      <c r="M17" s="20" t="s">
        <v>49</v>
      </c>
    </row>
    <row r="19" spans="1:12" ht="15">
      <c r="A19" s="49" t="s">
        <v>541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3" ht="12.75">
      <c r="A20" s="17" t="s">
        <v>639</v>
      </c>
      <c r="B20" s="17" t="s">
        <v>640</v>
      </c>
      <c r="C20" s="17" t="s">
        <v>641</v>
      </c>
      <c r="D20" s="17" t="str">
        <f>"0,5419"</f>
        <v>0,5419</v>
      </c>
      <c r="E20" s="17" t="s">
        <v>25</v>
      </c>
      <c r="F20" s="17" t="s">
        <v>642</v>
      </c>
      <c r="G20" s="19" t="s">
        <v>89</v>
      </c>
      <c r="H20" s="18" t="s">
        <v>56</v>
      </c>
      <c r="I20" s="19"/>
      <c r="J20" s="19"/>
      <c r="K20" s="17" t="str">
        <f>"290,0"</f>
        <v>290,0</v>
      </c>
      <c r="L20" s="18" t="str">
        <f>"157,1510"</f>
        <v>157,1510</v>
      </c>
      <c r="M20" s="17" t="s">
        <v>643</v>
      </c>
    </row>
    <row r="21" spans="1:13" ht="12.75">
      <c r="A21" s="23" t="s">
        <v>645</v>
      </c>
      <c r="B21" s="23" t="s">
        <v>646</v>
      </c>
      <c r="C21" s="23" t="s">
        <v>647</v>
      </c>
      <c r="D21" s="23" t="str">
        <f>"0,5469"</f>
        <v>0,5469</v>
      </c>
      <c r="E21" s="23" t="s">
        <v>25</v>
      </c>
      <c r="F21" s="23" t="s">
        <v>627</v>
      </c>
      <c r="G21" s="25" t="s">
        <v>47</v>
      </c>
      <c r="H21" s="25" t="s">
        <v>48</v>
      </c>
      <c r="I21" s="24" t="s">
        <v>648</v>
      </c>
      <c r="J21" s="24"/>
      <c r="K21" s="23" t="str">
        <f>"230,0"</f>
        <v>230,0</v>
      </c>
      <c r="L21" s="25" t="str">
        <f>"125,7870"</f>
        <v>125,7870</v>
      </c>
      <c r="M21" s="23" t="s">
        <v>49</v>
      </c>
    </row>
    <row r="22" spans="1:13" ht="12.75">
      <c r="A22" s="20" t="s">
        <v>639</v>
      </c>
      <c r="B22" s="20" t="s">
        <v>649</v>
      </c>
      <c r="C22" s="20" t="s">
        <v>641</v>
      </c>
      <c r="D22" s="20" t="str">
        <f>"0,5419"</f>
        <v>0,5419</v>
      </c>
      <c r="E22" s="20" t="s">
        <v>25</v>
      </c>
      <c r="F22" s="20" t="s">
        <v>642</v>
      </c>
      <c r="G22" s="22" t="s">
        <v>89</v>
      </c>
      <c r="H22" s="21" t="s">
        <v>56</v>
      </c>
      <c r="I22" s="22"/>
      <c r="J22" s="22"/>
      <c r="K22" s="20" t="str">
        <f>"290,0"</f>
        <v>290,0</v>
      </c>
      <c r="L22" s="21" t="str">
        <f>"164,6942"</f>
        <v>164,6942</v>
      </c>
      <c r="M22" s="20" t="s">
        <v>643</v>
      </c>
    </row>
    <row r="24" spans="1:12" ht="15">
      <c r="A24" s="49" t="s">
        <v>50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3" ht="12.75">
      <c r="A25" s="8" t="s">
        <v>552</v>
      </c>
      <c r="B25" s="8" t="s">
        <v>553</v>
      </c>
      <c r="C25" s="8" t="s">
        <v>554</v>
      </c>
      <c r="D25" s="8" t="str">
        <f>"0,5231"</f>
        <v>0,5231</v>
      </c>
      <c r="E25" s="8" t="s">
        <v>25</v>
      </c>
      <c r="F25" s="8" t="s">
        <v>26</v>
      </c>
      <c r="G25" s="9" t="s">
        <v>650</v>
      </c>
      <c r="H25" s="10" t="s">
        <v>282</v>
      </c>
      <c r="I25" s="9" t="s">
        <v>651</v>
      </c>
      <c r="J25" s="10"/>
      <c r="K25" s="8" t="str">
        <f>"310,0"</f>
        <v>310,0</v>
      </c>
      <c r="L25" s="9" t="str">
        <f>"162,1610"</f>
        <v>162,1610</v>
      </c>
      <c r="M25" s="8" t="s">
        <v>555</v>
      </c>
    </row>
    <row r="27" ht="15">
      <c r="E27" s="6" t="s">
        <v>12</v>
      </c>
    </row>
    <row r="28" ht="15">
      <c r="E28" s="6" t="s">
        <v>13</v>
      </c>
    </row>
    <row r="29" ht="15">
      <c r="E29" s="6" t="s">
        <v>14</v>
      </c>
    </row>
    <row r="30" ht="15">
      <c r="E30" s="6" t="s">
        <v>15</v>
      </c>
    </row>
    <row r="31" ht="15">
      <c r="E31" s="6" t="s">
        <v>15</v>
      </c>
    </row>
    <row r="32" ht="15">
      <c r="E32" s="6" t="s">
        <v>16</v>
      </c>
    </row>
    <row r="33" ht="15">
      <c r="E33" s="6"/>
    </row>
    <row r="35" spans="1:2" ht="18">
      <c r="A35" s="7" t="s">
        <v>17</v>
      </c>
      <c r="B35" s="7"/>
    </row>
    <row r="36" spans="1:2" ht="15">
      <c r="A36" s="11" t="s">
        <v>61</v>
      </c>
      <c r="B36" s="11"/>
    </row>
    <row r="37" spans="1:2" ht="14.25">
      <c r="A37" s="13"/>
      <c r="B37" s="14" t="s">
        <v>62</v>
      </c>
    </row>
    <row r="38" spans="1:5" ht="15">
      <c r="A38" s="15" t="s">
        <v>63</v>
      </c>
      <c r="B38" s="15" t="s">
        <v>64</v>
      </c>
      <c r="C38" s="15" t="s">
        <v>65</v>
      </c>
      <c r="D38" s="15" t="s">
        <v>66</v>
      </c>
      <c r="E38" s="15" t="s">
        <v>67</v>
      </c>
    </row>
    <row r="39" spans="1:5" ht="12.75">
      <c r="A39" s="12" t="s">
        <v>551</v>
      </c>
      <c r="B39" s="5" t="s">
        <v>62</v>
      </c>
      <c r="C39" s="5" t="s">
        <v>68</v>
      </c>
      <c r="D39" s="5" t="s">
        <v>282</v>
      </c>
      <c r="E39" s="16" t="s">
        <v>652</v>
      </c>
    </row>
    <row r="40" spans="1:5" ht="12.75">
      <c r="A40" s="12" t="s">
        <v>638</v>
      </c>
      <c r="B40" s="5" t="s">
        <v>62</v>
      </c>
      <c r="C40" s="5" t="s">
        <v>497</v>
      </c>
      <c r="D40" s="5" t="s">
        <v>89</v>
      </c>
      <c r="E40" s="16" t="s">
        <v>653</v>
      </c>
    </row>
    <row r="41" spans="1:5" ht="12.75">
      <c r="A41" s="12" t="s">
        <v>617</v>
      </c>
      <c r="B41" s="5" t="s">
        <v>62</v>
      </c>
      <c r="C41" s="5" t="s">
        <v>265</v>
      </c>
      <c r="D41" s="5" t="s">
        <v>622</v>
      </c>
      <c r="E41" s="16" t="s">
        <v>654</v>
      </c>
    </row>
    <row r="42" spans="1:5" ht="12.75">
      <c r="A42" s="12" t="s">
        <v>644</v>
      </c>
      <c r="B42" s="5" t="s">
        <v>62</v>
      </c>
      <c r="C42" s="5" t="s">
        <v>497</v>
      </c>
      <c r="D42" s="5" t="s">
        <v>655</v>
      </c>
      <c r="E42" s="16" t="s">
        <v>656</v>
      </c>
    </row>
    <row r="43" spans="1:5" ht="12.75">
      <c r="A43" s="12" t="s">
        <v>624</v>
      </c>
      <c r="B43" s="5" t="s">
        <v>62</v>
      </c>
      <c r="C43" s="5" t="s">
        <v>71</v>
      </c>
      <c r="D43" s="5" t="s">
        <v>204</v>
      </c>
      <c r="E43" s="16" t="s">
        <v>657</v>
      </c>
    </row>
    <row r="44" spans="1:5" ht="12.75">
      <c r="A44" s="12" t="s">
        <v>629</v>
      </c>
      <c r="B44" s="5" t="s">
        <v>62</v>
      </c>
      <c r="C44" s="5" t="s">
        <v>71</v>
      </c>
      <c r="D44" s="5" t="s">
        <v>658</v>
      </c>
      <c r="E44" s="16" t="s">
        <v>659</v>
      </c>
    </row>
    <row r="46" spans="1:2" ht="14.25">
      <c r="A46" s="13"/>
      <c r="B46" s="14" t="s">
        <v>268</v>
      </c>
    </row>
    <row r="47" spans="1:5" ht="15">
      <c r="A47" s="15" t="s">
        <v>63</v>
      </c>
      <c r="B47" s="15" t="s">
        <v>64</v>
      </c>
      <c r="C47" s="15" t="s">
        <v>65</v>
      </c>
      <c r="D47" s="15" t="s">
        <v>66</v>
      </c>
      <c r="E47" s="15" t="s">
        <v>67</v>
      </c>
    </row>
    <row r="48" spans="1:5" ht="12.75">
      <c r="A48" s="12" t="s">
        <v>638</v>
      </c>
      <c r="B48" s="5" t="s">
        <v>359</v>
      </c>
      <c r="C48" s="5" t="s">
        <v>497</v>
      </c>
      <c r="D48" s="5" t="s">
        <v>89</v>
      </c>
      <c r="E48" s="16" t="s">
        <v>660</v>
      </c>
    </row>
    <row r="49" spans="1:5" ht="12.75">
      <c r="A49" s="12" t="s">
        <v>612</v>
      </c>
      <c r="B49" s="5" t="s">
        <v>359</v>
      </c>
      <c r="C49" s="5" t="s">
        <v>141</v>
      </c>
      <c r="D49" s="5" t="s">
        <v>27</v>
      </c>
      <c r="E49" s="16" t="s">
        <v>661</v>
      </c>
    </row>
  </sheetData>
  <sheetProtection/>
  <mergeCells count="17">
    <mergeCell ref="A24:L24"/>
    <mergeCell ref="A8:L8"/>
    <mergeCell ref="A11:L11"/>
    <mergeCell ref="A15:L15"/>
    <mergeCell ref="A19:L19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38.125" style="5" bestFit="1" customWidth="1"/>
    <col min="7" max="10" width="6.625" style="4" bestFit="1" customWidth="1"/>
    <col min="11" max="11" width="7.875" style="5" bestFit="1" customWidth="1"/>
    <col min="12" max="12" width="8.625" style="4" bestFit="1" customWidth="1"/>
    <col min="13" max="13" width="17.25390625" style="5" bestFit="1" customWidth="1"/>
    <col min="14" max="16384" width="9.125" style="4" customWidth="1"/>
  </cols>
  <sheetData>
    <row r="1" spans="1:13" s="3" customFormat="1" ht="28.5" customHeight="1">
      <c r="A1" s="40" t="s">
        <v>392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2</v>
      </c>
      <c r="H3" s="34"/>
      <c r="I3" s="34"/>
      <c r="J3" s="34"/>
      <c r="K3" s="34" t="s">
        <v>295</v>
      </c>
      <c r="L3" s="34" t="s">
        <v>6</v>
      </c>
      <c r="M3" s="36" t="s">
        <v>5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5"/>
      <c r="M4" s="37"/>
    </row>
    <row r="5" spans="1:12" ht="15">
      <c r="A5" s="38" t="s">
        <v>106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2.75">
      <c r="A6" s="8" t="s">
        <v>394</v>
      </c>
      <c r="B6" s="8" t="s">
        <v>395</v>
      </c>
      <c r="C6" s="8" t="s">
        <v>396</v>
      </c>
      <c r="D6" s="8" t="str">
        <f>"0,9739"</f>
        <v>0,9739</v>
      </c>
      <c r="E6" s="8" t="s">
        <v>25</v>
      </c>
      <c r="F6" s="8" t="s">
        <v>397</v>
      </c>
      <c r="G6" s="9" t="s">
        <v>129</v>
      </c>
      <c r="H6" s="10" t="s">
        <v>113</v>
      </c>
      <c r="I6" s="10" t="s">
        <v>113</v>
      </c>
      <c r="J6" s="10"/>
      <c r="K6" s="8" t="str">
        <f>"47,5"</f>
        <v>47,5</v>
      </c>
      <c r="L6" s="9" t="str">
        <f>"49,0359"</f>
        <v>49,0359</v>
      </c>
      <c r="M6" s="8" t="s">
        <v>49</v>
      </c>
    </row>
    <row r="8" spans="1:12" ht="15">
      <c r="A8" s="49" t="s">
        <v>155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7" t="s">
        <v>157</v>
      </c>
      <c r="B9" s="17" t="s">
        <v>158</v>
      </c>
      <c r="C9" s="17" t="s">
        <v>159</v>
      </c>
      <c r="D9" s="17" t="str">
        <f>"0,8609"</f>
        <v>0,8609</v>
      </c>
      <c r="E9" s="17" t="s">
        <v>25</v>
      </c>
      <c r="F9" s="17" t="s">
        <v>26</v>
      </c>
      <c r="G9" s="18" t="s">
        <v>114</v>
      </c>
      <c r="H9" s="18" t="s">
        <v>294</v>
      </c>
      <c r="I9" s="18" t="s">
        <v>119</v>
      </c>
      <c r="J9" s="19"/>
      <c r="K9" s="17" t="str">
        <f>"70,0"</f>
        <v>70,0</v>
      </c>
      <c r="L9" s="18" t="str">
        <f>"60,2630"</f>
        <v>60,2630</v>
      </c>
      <c r="M9" s="17" t="s">
        <v>49</v>
      </c>
    </row>
    <row r="10" spans="1:13" ht="12.75">
      <c r="A10" s="20" t="s">
        <v>399</v>
      </c>
      <c r="B10" s="20" t="s">
        <v>400</v>
      </c>
      <c r="C10" s="20" t="s">
        <v>401</v>
      </c>
      <c r="D10" s="20" t="str">
        <f>"0,8794"</f>
        <v>0,8794</v>
      </c>
      <c r="E10" s="20" t="s">
        <v>25</v>
      </c>
      <c r="F10" s="20" t="s">
        <v>170</v>
      </c>
      <c r="G10" s="21" t="s">
        <v>402</v>
      </c>
      <c r="H10" s="22" t="s">
        <v>403</v>
      </c>
      <c r="I10" s="22" t="s">
        <v>113</v>
      </c>
      <c r="J10" s="22"/>
      <c r="K10" s="20" t="str">
        <f>"40,0"</f>
        <v>40,0</v>
      </c>
      <c r="L10" s="21" t="str">
        <f>"35,1760"</f>
        <v>35,1760</v>
      </c>
      <c r="M10" s="20" t="s">
        <v>49</v>
      </c>
    </row>
    <row r="12" spans="1:12" ht="15">
      <c r="A12" s="49" t="s">
        <v>172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3" ht="12.75">
      <c r="A13" s="17" t="s">
        <v>405</v>
      </c>
      <c r="B13" s="17" t="s">
        <v>406</v>
      </c>
      <c r="C13" s="17" t="s">
        <v>407</v>
      </c>
      <c r="D13" s="17" t="str">
        <f>"0,8153"</f>
        <v>0,8153</v>
      </c>
      <c r="E13" s="17" t="s">
        <v>25</v>
      </c>
      <c r="F13" s="17" t="s">
        <v>408</v>
      </c>
      <c r="G13" s="18" t="s">
        <v>185</v>
      </c>
      <c r="H13" s="18" t="s">
        <v>114</v>
      </c>
      <c r="I13" s="19" t="s">
        <v>186</v>
      </c>
      <c r="J13" s="19"/>
      <c r="K13" s="17" t="str">
        <f>"60,0"</f>
        <v>60,0</v>
      </c>
      <c r="L13" s="18" t="str">
        <f>"48,9210"</f>
        <v>48,9210</v>
      </c>
      <c r="M13" s="17" t="s">
        <v>49</v>
      </c>
    </row>
    <row r="14" spans="1:13" ht="12.75">
      <c r="A14" s="23" t="s">
        <v>410</v>
      </c>
      <c r="B14" s="23" t="s">
        <v>411</v>
      </c>
      <c r="C14" s="23" t="s">
        <v>412</v>
      </c>
      <c r="D14" s="23" t="str">
        <f>"0,8026"</f>
        <v>0,8026</v>
      </c>
      <c r="E14" s="23" t="s">
        <v>25</v>
      </c>
      <c r="F14" s="23" t="s">
        <v>42</v>
      </c>
      <c r="G14" s="24" t="s">
        <v>178</v>
      </c>
      <c r="H14" s="25" t="s">
        <v>413</v>
      </c>
      <c r="I14" s="24" t="s">
        <v>114</v>
      </c>
      <c r="J14" s="24"/>
      <c r="K14" s="23" t="str">
        <f>"57,5"</f>
        <v>57,5</v>
      </c>
      <c r="L14" s="25" t="str">
        <f>"46,1495"</f>
        <v>46,1495</v>
      </c>
      <c r="M14" s="23" t="s">
        <v>49</v>
      </c>
    </row>
    <row r="15" spans="1:13" ht="12.75">
      <c r="A15" s="23" t="s">
        <v>415</v>
      </c>
      <c r="B15" s="23" t="s">
        <v>416</v>
      </c>
      <c r="C15" s="23" t="s">
        <v>417</v>
      </c>
      <c r="D15" s="23" t="str">
        <f>"0,8274"</f>
        <v>0,8274</v>
      </c>
      <c r="E15" s="23" t="s">
        <v>25</v>
      </c>
      <c r="F15" s="23" t="s">
        <v>170</v>
      </c>
      <c r="G15" s="25" t="s">
        <v>418</v>
      </c>
      <c r="H15" s="25" t="s">
        <v>419</v>
      </c>
      <c r="I15" s="25" t="s">
        <v>420</v>
      </c>
      <c r="J15" s="24"/>
      <c r="K15" s="23" t="str">
        <f>"42,5"</f>
        <v>42,5</v>
      </c>
      <c r="L15" s="25" t="str">
        <f>"35,1666"</f>
        <v>35,1666</v>
      </c>
      <c r="M15" s="23" t="s">
        <v>49</v>
      </c>
    </row>
    <row r="16" spans="1:13" ht="12.75">
      <c r="A16" s="23" t="s">
        <v>421</v>
      </c>
      <c r="B16" s="23" t="s">
        <v>422</v>
      </c>
      <c r="C16" s="23" t="s">
        <v>423</v>
      </c>
      <c r="D16" s="23" t="str">
        <f>"0,7964"</f>
        <v>0,7964</v>
      </c>
      <c r="E16" s="23" t="s">
        <v>25</v>
      </c>
      <c r="F16" s="23" t="s">
        <v>26</v>
      </c>
      <c r="G16" s="24" t="s">
        <v>186</v>
      </c>
      <c r="H16" s="24" t="s">
        <v>186</v>
      </c>
      <c r="I16" s="24" t="s">
        <v>186</v>
      </c>
      <c r="J16" s="24"/>
      <c r="K16" s="23" t="str">
        <f>"0.00"</f>
        <v>0.00</v>
      </c>
      <c r="L16" s="25" t="str">
        <f>"0,0000"</f>
        <v>0,0000</v>
      </c>
      <c r="M16" s="23" t="s">
        <v>49</v>
      </c>
    </row>
    <row r="17" spans="1:13" ht="12.75">
      <c r="A17" s="20" t="s">
        <v>425</v>
      </c>
      <c r="B17" s="20" t="s">
        <v>426</v>
      </c>
      <c r="C17" s="20" t="s">
        <v>427</v>
      </c>
      <c r="D17" s="20" t="str">
        <f>"0,7862"</f>
        <v>0,7862</v>
      </c>
      <c r="E17" s="20" t="s">
        <v>25</v>
      </c>
      <c r="F17" s="20" t="s">
        <v>126</v>
      </c>
      <c r="G17" s="21" t="s">
        <v>428</v>
      </c>
      <c r="H17" s="21" t="s">
        <v>140</v>
      </c>
      <c r="I17" s="22" t="s">
        <v>429</v>
      </c>
      <c r="J17" s="22"/>
      <c r="K17" s="20" t="str">
        <f>"70,0"</f>
        <v>70,0</v>
      </c>
      <c r="L17" s="21" t="str">
        <f>"57,6756"</f>
        <v>57,6756</v>
      </c>
      <c r="M17" s="20" t="s">
        <v>49</v>
      </c>
    </row>
    <row r="19" spans="1:12" ht="15">
      <c r="A19" s="49" t="s">
        <v>188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3" ht="12.75">
      <c r="A20" s="8" t="s">
        <v>431</v>
      </c>
      <c r="B20" s="8" t="s">
        <v>432</v>
      </c>
      <c r="C20" s="8" t="s">
        <v>433</v>
      </c>
      <c r="D20" s="8" t="str">
        <f>"0,7340"</f>
        <v>0,7340</v>
      </c>
      <c r="E20" s="8" t="s">
        <v>25</v>
      </c>
      <c r="F20" s="8" t="s">
        <v>385</v>
      </c>
      <c r="G20" s="10" t="s">
        <v>294</v>
      </c>
      <c r="H20" s="10" t="s">
        <v>115</v>
      </c>
      <c r="I20" s="9" t="s">
        <v>428</v>
      </c>
      <c r="J20" s="10"/>
      <c r="K20" s="8" t="str">
        <f>"67,5"</f>
        <v>67,5</v>
      </c>
      <c r="L20" s="9" t="str">
        <f>"49,5416"</f>
        <v>49,5416</v>
      </c>
      <c r="M20" s="8" t="s">
        <v>49</v>
      </c>
    </row>
    <row r="22" spans="1:12" ht="15">
      <c r="A22" s="49" t="s">
        <v>434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3" ht="12.75">
      <c r="A23" s="8" t="s">
        <v>436</v>
      </c>
      <c r="B23" s="8" t="s">
        <v>437</v>
      </c>
      <c r="C23" s="8" t="s">
        <v>438</v>
      </c>
      <c r="D23" s="8" t="str">
        <f>"0,5898"</f>
        <v>0,5898</v>
      </c>
      <c r="E23" s="8" t="s">
        <v>25</v>
      </c>
      <c r="F23" s="8" t="s">
        <v>439</v>
      </c>
      <c r="G23" s="9" t="s">
        <v>140</v>
      </c>
      <c r="H23" s="9" t="s">
        <v>99</v>
      </c>
      <c r="I23" s="9" t="s">
        <v>150</v>
      </c>
      <c r="J23" s="10"/>
      <c r="K23" s="8" t="str">
        <f>"85,0"</f>
        <v>85,0</v>
      </c>
      <c r="L23" s="9" t="str">
        <f>"50,1330"</f>
        <v>50,1330</v>
      </c>
      <c r="M23" s="8" t="s">
        <v>49</v>
      </c>
    </row>
    <row r="25" spans="1:12" ht="15">
      <c r="A25" s="49" t="s">
        <v>106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3" ht="12.75">
      <c r="A26" s="8" t="s">
        <v>441</v>
      </c>
      <c r="B26" s="8" t="s">
        <v>442</v>
      </c>
      <c r="C26" s="8" t="s">
        <v>443</v>
      </c>
      <c r="D26" s="8" t="str">
        <f>"0,9601"</f>
        <v>0,9601</v>
      </c>
      <c r="E26" s="8" t="s">
        <v>25</v>
      </c>
      <c r="F26" s="8" t="s">
        <v>138</v>
      </c>
      <c r="G26" s="10" t="s">
        <v>114</v>
      </c>
      <c r="H26" s="9" t="s">
        <v>163</v>
      </c>
      <c r="I26" s="10" t="s">
        <v>115</v>
      </c>
      <c r="J26" s="10"/>
      <c r="K26" s="8" t="str">
        <f>"60,0"</f>
        <v>60,0</v>
      </c>
      <c r="L26" s="9" t="str">
        <f>"70,8554"</f>
        <v>70,8554</v>
      </c>
      <c r="M26" s="8" t="s">
        <v>49</v>
      </c>
    </row>
    <row r="28" spans="1:12" ht="15">
      <c r="A28" s="49" t="s">
        <v>188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3" ht="12.75">
      <c r="A29" s="17" t="s">
        <v>445</v>
      </c>
      <c r="B29" s="17" t="s">
        <v>446</v>
      </c>
      <c r="C29" s="17" t="s">
        <v>447</v>
      </c>
      <c r="D29" s="17" t="str">
        <f>"0,6789"</f>
        <v>0,6789</v>
      </c>
      <c r="E29" s="17" t="s">
        <v>25</v>
      </c>
      <c r="F29" s="17" t="s">
        <v>448</v>
      </c>
      <c r="G29" s="18" t="s">
        <v>196</v>
      </c>
      <c r="H29" s="19" t="s">
        <v>203</v>
      </c>
      <c r="I29" s="19" t="s">
        <v>221</v>
      </c>
      <c r="J29" s="19"/>
      <c r="K29" s="17" t="str">
        <f>"130,0"</f>
        <v>130,0</v>
      </c>
      <c r="L29" s="18" t="str">
        <f>"93,5524"</f>
        <v>93,5524</v>
      </c>
      <c r="M29" s="17" t="s">
        <v>49</v>
      </c>
    </row>
    <row r="30" spans="1:13" ht="12.75">
      <c r="A30" s="23" t="s">
        <v>450</v>
      </c>
      <c r="B30" s="23" t="s">
        <v>451</v>
      </c>
      <c r="C30" s="23" t="s">
        <v>452</v>
      </c>
      <c r="D30" s="23" t="str">
        <f>"0,6659"</f>
        <v>0,6659</v>
      </c>
      <c r="E30" s="23" t="s">
        <v>453</v>
      </c>
      <c r="F30" s="23" t="s">
        <v>454</v>
      </c>
      <c r="G30" s="25" t="s">
        <v>312</v>
      </c>
      <c r="H30" s="25" t="s">
        <v>31</v>
      </c>
      <c r="I30" s="24" t="s">
        <v>358</v>
      </c>
      <c r="J30" s="24"/>
      <c r="K30" s="23" t="str">
        <f>"150,0"</f>
        <v>150,0</v>
      </c>
      <c r="L30" s="25" t="str">
        <f>"99,8850"</f>
        <v>99,8850</v>
      </c>
      <c r="M30" s="23" t="s">
        <v>455</v>
      </c>
    </row>
    <row r="31" spans="1:13" ht="12.75">
      <c r="A31" s="23" t="s">
        <v>457</v>
      </c>
      <c r="B31" s="23" t="s">
        <v>458</v>
      </c>
      <c r="C31" s="23" t="s">
        <v>459</v>
      </c>
      <c r="D31" s="23" t="str">
        <f>"0,6723"</f>
        <v>0,6723</v>
      </c>
      <c r="E31" s="23" t="s">
        <v>25</v>
      </c>
      <c r="F31" s="23" t="s">
        <v>389</v>
      </c>
      <c r="G31" s="25" t="s">
        <v>195</v>
      </c>
      <c r="H31" s="24" t="s">
        <v>342</v>
      </c>
      <c r="I31" s="25" t="s">
        <v>460</v>
      </c>
      <c r="J31" s="24"/>
      <c r="K31" s="23" t="str">
        <f>"132,5"</f>
        <v>132,5</v>
      </c>
      <c r="L31" s="25" t="str">
        <f>"89,0797"</f>
        <v>89,0797</v>
      </c>
      <c r="M31" s="23" t="s">
        <v>49</v>
      </c>
    </row>
    <row r="32" spans="1:13" ht="12.75">
      <c r="A32" s="23" t="s">
        <v>461</v>
      </c>
      <c r="B32" s="23" t="s">
        <v>462</v>
      </c>
      <c r="C32" s="23" t="s">
        <v>463</v>
      </c>
      <c r="D32" s="23" t="str">
        <f>"0,6694"</f>
        <v>0,6694</v>
      </c>
      <c r="E32" s="23" t="s">
        <v>25</v>
      </c>
      <c r="F32" s="23" t="s">
        <v>26</v>
      </c>
      <c r="G32" s="24" t="s">
        <v>341</v>
      </c>
      <c r="H32" s="24" t="s">
        <v>68</v>
      </c>
      <c r="I32" s="24" t="s">
        <v>68</v>
      </c>
      <c r="J32" s="24"/>
      <c r="K32" s="23" t="str">
        <f>"0.00"</f>
        <v>0.00</v>
      </c>
      <c r="L32" s="25" t="str">
        <f>"0,0000"</f>
        <v>0,0000</v>
      </c>
      <c r="M32" s="23" t="s">
        <v>49</v>
      </c>
    </row>
    <row r="33" spans="1:13" ht="12.75">
      <c r="A33" s="23" t="s">
        <v>466</v>
      </c>
      <c r="B33" s="23" t="s">
        <v>467</v>
      </c>
      <c r="C33" s="23" t="s">
        <v>468</v>
      </c>
      <c r="D33" s="23" t="str">
        <f>"0,6851"</f>
        <v>0,6851</v>
      </c>
      <c r="E33" s="23" t="s">
        <v>453</v>
      </c>
      <c r="F33" s="23" t="s">
        <v>469</v>
      </c>
      <c r="G33" s="25" t="s">
        <v>164</v>
      </c>
      <c r="H33" s="25" t="s">
        <v>324</v>
      </c>
      <c r="I33" s="25" t="s">
        <v>196</v>
      </c>
      <c r="J33" s="24"/>
      <c r="K33" s="23" t="str">
        <f>"130,0"</f>
        <v>130,0</v>
      </c>
      <c r="L33" s="25" t="str">
        <f>"136,7117"</f>
        <v>136,7117</v>
      </c>
      <c r="M33" s="23" t="s">
        <v>470</v>
      </c>
    </row>
    <row r="34" spans="1:13" ht="12.75">
      <c r="A34" s="20" t="s">
        <v>472</v>
      </c>
      <c r="B34" s="20" t="s">
        <v>473</v>
      </c>
      <c r="C34" s="20" t="s">
        <v>474</v>
      </c>
      <c r="D34" s="20" t="str">
        <f>"0,6680"</f>
        <v>0,6680</v>
      </c>
      <c r="E34" s="20" t="s">
        <v>25</v>
      </c>
      <c r="F34" s="20" t="s">
        <v>26</v>
      </c>
      <c r="G34" s="21" t="s">
        <v>475</v>
      </c>
      <c r="H34" s="21" t="s">
        <v>131</v>
      </c>
      <c r="I34" s="21" t="s">
        <v>152</v>
      </c>
      <c r="J34" s="21" t="s">
        <v>476</v>
      </c>
      <c r="K34" s="20" t="str">
        <f>"105,0"</f>
        <v>105,0</v>
      </c>
      <c r="L34" s="21" t="str">
        <f>"146,2419"</f>
        <v>146,2419</v>
      </c>
      <c r="M34" s="20" t="s">
        <v>49</v>
      </c>
    </row>
    <row r="36" spans="1:12" ht="15">
      <c r="A36" s="49" t="s">
        <v>180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3" ht="12.75">
      <c r="A37" s="17" t="s">
        <v>478</v>
      </c>
      <c r="B37" s="17" t="s">
        <v>479</v>
      </c>
      <c r="C37" s="17" t="s">
        <v>480</v>
      </c>
      <c r="D37" s="17" t="str">
        <f>"0,6262"</f>
        <v>0,6262</v>
      </c>
      <c r="E37" s="17" t="s">
        <v>25</v>
      </c>
      <c r="F37" s="17" t="s">
        <v>397</v>
      </c>
      <c r="G37" s="18" t="s">
        <v>30</v>
      </c>
      <c r="H37" s="18" t="s">
        <v>31</v>
      </c>
      <c r="I37" s="19" t="s">
        <v>32</v>
      </c>
      <c r="J37" s="19"/>
      <c r="K37" s="17" t="str">
        <f>"150,0"</f>
        <v>150,0</v>
      </c>
      <c r="L37" s="18" t="str">
        <f>"93,9300"</f>
        <v>93,9300</v>
      </c>
      <c r="M37" s="17" t="s">
        <v>49</v>
      </c>
    </row>
    <row r="38" spans="1:13" ht="12.75">
      <c r="A38" s="23" t="s">
        <v>482</v>
      </c>
      <c r="B38" s="23" t="s">
        <v>483</v>
      </c>
      <c r="C38" s="23" t="s">
        <v>484</v>
      </c>
      <c r="D38" s="23" t="str">
        <f>"0,6230"</f>
        <v>0,6230</v>
      </c>
      <c r="E38" s="23" t="s">
        <v>25</v>
      </c>
      <c r="F38" s="23" t="s">
        <v>26</v>
      </c>
      <c r="G38" s="24" t="s">
        <v>370</v>
      </c>
      <c r="H38" s="25" t="s">
        <v>313</v>
      </c>
      <c r="I38" s="24" t="s">
        <v>318</v>
      </c>
      <c r="J38" s="24"/>
      <c r="K38" s="23" t="str">
        <f>"147,5"</f>
        <v>147,5</v>
      </c>
      <c r="L38" s="25" t="str">
        <f>"91,8925"</f>
        <v>91,8925</v>
      </c>
      <c r="M38" s="23" t="s">
        <v>49</v>
      </c>
    </row>
    <row r="39" spans="1:13" ht="12.75">
      <c r="A39" s="23" t="s">
        <v>486</v>
      </c>
      <c r="B39" s="23" t="s">
        <v>487</v>
      </c>
      <c r="C39" s="23" t="s">
        <v>488</v>
      </c>
      <c r="D39" s="23" t="str">
        <f>"0,6198"</f>
        <v>0,6198</v>
      </c>
      <c r="E39" s="23" t="s">
        <v>25</v>
      </c>
      <c r="F39" s="23" t="s">
        <v>397</v>
      </c>
      <c r="G39" s="24" t="s">
        <v>242</v>
      </c>
      <c r="H39" s="24" t="s">
        <v>242</v>
      </c>
      <c r="I39" s="25" t="s">
        <v>242</v>
      </c>
      <c r="J39" s="24"/>
      <c r="K39" s="23" t="str">
        <f>"140,0"</f>
        <v>140,0</v>
      </c>
      <c r="L39" s="25" t="str">
        <f>"86,7720"</f>
        <v>86,7720</v>
      </c>
      <c r="M39" s="23" t="s">
        <v>49</v>
      </c>
    </row>
    <row r="40" spans="1:13" ht="12.75">
      <c r="A40" s="23" t="s">
        <v>490</v>
      </c>
      <c r="B40" s="23" t="s">
        <v>491</v>
      </c>
      <c r="C40" s="23" t="s">
        <v>480</v>
      </c>
      <c r="D40" s="23" t="str">
        <f>"0,6262"</f>
        <v>0,6262</v>
      </c>
      <c r="E40" s="23" t="s">
        <v>25</v>
      </c>
      <c r="F40" s="23" t="s">
        <v>492</v>
      </c>
      <c r="G40" s="25" t="s">
        <v>195</v>
      </c>
      <c r="H40" s="25" t="s">
        <v>196</v>
      </c>
      <c r="I40" s="24" t="s">
        <v>460</v>
      </c>
      <c r="J40" s="24"/>
      <c r="K40" s="23" t="str">
        <f>"130,0"</f>
        <v>130,0</v>
      </c>
      <c r="L40" s="25" t="str">
        <f>"81,4060"</f>
        <v>81,4060</v>
      </c>
      <c r="M40" s="23" t="s">
        <v>49</v>
      </c>
    </row>
    <row r="41" spans="1:13" ht="12.75">
      <c r="A41" s="23" t="s">
        <v>494</v>
      </c>
      <c r="B41" s="23" t="s">
        <v>495</v>
      </c>
      <c r="C41" s="23" t="s">
        <v>496</v>
      </c>
      <c r="D41" s="23" t="str">
        <f>"0,6284"</f>
        <v>0,6284</v>
      </c>
      <c r="E41" s="23" t="s">
        <v>25</v>
      </c>
      <c r="F41" s="23" t="s">
        <v>329</v>
      </c>
      <c r="G41" s="24" t="s">
        <v>497</v>
      </c>
      <c r="H41" s="25" t="s">
        <v>498</v>
      </c>
      <c r="I41" s="25" t="s">
        <v>341</v>
      </c>
      <c r="J41" s="24"/>
      <c r="K41" s="23" t="str">
        <f>"120,0"</f>
        <v>120,0</v>
      </c>
      <c r="L41" s="25" t="str">
        <f>"75,4080"</f>
        <v>75,4080</v>
      </c>
      <c r="M41" s="23" t="s">
        <v>49</v>
      </c>
    </row>
    <row r="42" spans="1:13" ht="12.75">
      <c r="A42" s="20" t="s">
        <v>499</v>
      </c>
      <c r="B42" s="20" t="s">
        <v>500</v>
      </c>
      <c r="C42" s="20" t="s">
        <v>488</v>
      </c>
      <c r="D42" s="20" t="str">
        <f>"0,6198"</f>
        <v>0,6198</v>
      </c>
      <c r="E42" s="20" t="s">
        <v>25</v>
      </c>
      <c r="F42" s="20" t="s">
        <v>397</v>
      </c>
      <c r="G42" s="22" t="s">
        <v>242</v>
      </c>
      <c r="H42" s="22" t="s">
        <v>242</v>
      </c>
      <c r="I42" s="21" t="s">
        <v>30</v>
      </c>
      <c r="J42" s="22"/>
      <c r="K42" s="20" t="str">
        <f>"140,0"</f>
        <v>140,0</v>
      </c>
      <c r="L42" s="21" t="str">
        <f>"86,7720"</f>
        <v>86,7720</v>
      </c>
      <c r="M42" s="20" t="s">
        <v>49</v>
      </c>
    </row>
    <row r="44" spans="1:12" ht="15">
      <c r="A44" s="49" t="s">
        <v>20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3" ht="12.75">
      <c r="A45" s="17" t="s">
        <v>502</v>
      </c>
      <c r="B45" s="17" t="s">
        <v>503</v>
      </c>
      <c r="C45" s="17" t="s">
        <v>504</v>
      </c>
      <c r="D45" s="17" t="str">
        <f>"0,5889"</f>
        <v>0,5889</v>
      </c>
      <c r="E45" s="17" t="s">
        <v>25</v>
      </c>
      <c r="F45" s="17" t="s">
        <v>26</v>
      </c>
      <c r="G45" s="18" t="s">
        <v>58</v>
      </c>
      <c r="H45" s="19" t="s">
        <v>27</v>
      </c>
      <c r="I45" s="18" t="s">
        <v>27</v>
      </c>
      <c r="J45" s="19"/>
      <c r="K45" s="17" t="str">
        <f>"180,0"</f>
        <v>180,0</v>
      </c>
      <c r="L45" s="18" t="str">
        <f>"106,0020"</f>
        <v>106,0020</v>
      </c>
      <c r="M45" s="17" t="s">
        <v>49</v>
      </c>
    </row>
    <row r="46" spans="1:13" ht="12.75">
      <c r="A46" s="23" t="s">
        <v>506</v>
      </c>
      <c r="B46" s="23" t="s">
        <v>507</v>
      </c>
      <c r="C46" s="23" t="s">
        <v>508</v>
      </c>
      <c r="D46" s="23" t="str">
        <f>"0,5922"</f>
        <v>0,5922</v>
      </c>
      <c r="E46" s="23" t="s">
        <v>25</v>
      </c>
      <c r="F46" s="23" t="s">
        <v>26</v>
      </c>
      <c r="G46" s="25" t="s">
        <v>509</v>
      </c>
      <c r="H46" s="25" t="s">
        <v>58</v>
      </c>
      <c r="I46" s="24" t="s">
        <v>335</v>
      </c>
      <c r="J46" s="24"/>
      <c r="K46" s="23" t="str">
        <f>"170,0"</f>
        <v>170,0</v>
      </c>
      <c r="L46" s="25" t="str">
        <f>"100,6740"</f>
        <v>100,6740</v>
      </c>
      <c r="M46" s="23" t="s">
        <v>49</v>
      </c>
    </row>
    <row r="47" spans="1:13" ht="12.75">
      <c r="A47" s="20" t="s">
        <v>337</v>
      </c>
      <c r="B47" s="20" t="s">
        <v>338</v>
      </c>
      <c r="C47" s="20" t="s">
        <v>510</v>
      </c>
      <c r="D47" s="20" t="str">
        <f>"0,5861"</f>
        <v>0,5861</v>
      </c>
      <c r="E47" s="20" t="s">
        <v>25</v>
      </c>
      <c r="F47" s="20" t="s">
        <v>340</v>
      </c>
      <c r="G47" s="21" t="s">
        <v>162</v>
      </c>
      <c r="H47" s="21" t="s">
        <v>195</v>
      </c>
      <c r="I47" s="21" t="s">
        <v>324</v>
      </c>
      <c r="J47" s="22"/>
      <c r="K47" s="20" t="str">
        <f>"127,5"</f>
        <v>127,5</v>
      </c>
      <c r="L47" s="21" t="str">
        <f>"139,3672"</f>
        <v>139,3672</v>
      </c>
      <c r="M47" s="20" t="s">
        <v>49</v>
      </c>
    </row>
    <row r="49" spans="1:12" ht="15">
      <c r="A49" s="49" t="s">
        <v>37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3" ht="12.75">
      <c r="A50" s="17" t="s">
        <v>512</v>
      </c>
      <c r="B50" s="17" t="s">
        <v>513</v>
      </c>
      <c r="C50" s="17" t="s">
        <v>514</v>
      </c>
      <c r="D50" s="17" t="str">
        <f>"0,5622"</f>
        <v>0,5622</v>
      </c>
      <c r="E50" s="17" t="s">
        <v>25</v>
      </c>
      <c r="F50" s="17" t="s">
        <v>397</v>
      </c>
      <c r="G50" s="18" t="s">
        <v>214</v>
      </c>
      <c r="H50" s="18" t="s">
        <v>32</v>
      </c>
      <c r="I50" s="18" t="s">
        <v>515</v>
      </c>
      <c r="J50" s="19"/>
      <c r="K50" s="17" t="str">
        <f>"165,0"</f>
        <v>165,0</v>
      </c>
      <c r="L50" s="18" t="str">
        <f>"92,7630"</f>
        <v>92,7630</v>
      </c>
      <c r="M50" s="17" t="s">
        <v>49</v>
      </c>
    </row>
    <row r="51" spans="1:13" ht="12.75">
      <c r="A51" s="23" t="s">
        <v>516</v>
      </c>
      <c r="B51" s="23" t="s">
        <v>388</v>
      </c>
      <c r="C51" s="23" t="s">
        <v>351</v>
      </c>
      <c r="D51" s="23" t="str">
        <f>"0,5540"</f>
        <v>0,5540</v>
      </c>
      <c r="E51" s="23" t="s">
        <v>25</v>
      </c>
      <c r="F51" s="23" t="s">
        <v>389</v>
      </c>
      <c r="G51" s="25" t="s">
        <v>236</v>
      </c>
      <c r="H51" s="25" t="s">
        <v>517</v>
      </c>
      <c r="I51" s="24" t="s">
        <v>330</v>
      </c>
      <c r="J51" s="24"/>
      <c r="K51" s="23" t="str">
        <f>"165,0"</f>
        <v>165,0</v>
      </c>
      <c r="L51" s="25" t="str">
        <f>"91,4100"</f>
        <v>91,4100</v>
      </c>
      <c r="M51" s="23" t="s">
        <v>49</v>
      </c>
    </row>
    <row r="52" spans="1:13" ht="12.75">
      <c r="A52" s="23" t="s">
        <v>519</v>
      </c>
      <c r="B52" s="23" t="s">
        <v>520</v>
      </c>
      <c r="C52" s="23" t="s">
        <v>521</v>
      </c>
      <c r="D52" s="23" t="str">
        <f>"0,5573"</f>
        <v>0,5573</v>
      </c>
      <c r="E52" s="23" t="s">
        <v>25</v>
      </c>
      <c r="F52" s="23" t="s">
        <v>26</v>
      </c>
      <c r="G52" s="24" t="s">
        <v>32</v>
      </c>
      <c r="H52" s="25" t="s">
        <v>509</v>
      </c>
      <c r="I52" s="24" t="s">
        <v>353</v>
      </c>
      <c r="J52" s="24"/>
      <c r="K52" s="23" t="str">
        <f>"162,5"</f>
        <v>162,5</v>
      </c>
      <c r="L52" s="25" t="str">
        <f>"90,5612"</f>
        <v>90,5612</v>
      </c>
      <c r="M52" s="23" t="s">
        <v>49</v>
      </c>
    </row>
    <row r="53" spans="1:13" ht="12.75">
      <c r="A53" s="23" t="s">
        <v>523</v>
      </c>
      <c r="B53" s="23" t="s">
        <v>524</v>
      </c>
      <c r="C53" s="23" t="s">
        <v>351</v>
      </c>
      <c r="D53" s="23" t="str">
        <f>"0,5540"</f>
        <v>0,5540</v>
      </c>
      <c r="E53" s="23" t="s">
        <v>25</v>
      </c>
      <c r="F53" s="23" t="s">
        <v>408</v>
      </c>
      <c r="G53" s="25" t="s">
        <v>31</v>
      </c>
      <c r="H53" s="25" t="s">
        <v>525</v>
      </c>
      <c r="I53" s="24" t="s">
        <v>353</v>
      </c>
      <c r="J53" s="24"/>
      <c r="K53" s="23" t="str">
        <f>"162,5"</f>
        <v>162,5</v>
      </c>
      <c r="L53" s="25" t="str">
        <f>"90,0250"</f>
        <v>90,0250</v>
      </c>
      <c r="M53" s="23" t="s">
        <v>49</v>
      </c>
    </row>
    <row r="54" spans="1:13" ht="12.75">
      <c r="A54" s="23" t="s">
        <v>527</v>
      </c>
      <c r="B54" s="23" t="s">
        <v>528</v>
      </c>
      <c r="C54" s="23" t="s">
        <v>529</v>
      </c>
      <c r="D54" s="23" t="str">
        <f>"0,5619"</f>
        <v>0,5619</v>
      </c>
      <c r="E54" s="23" t="s">
        <v>25</v>
      </c>
      <c r="F54" s="23" t="s">
        <v>397</v>
      </c>
      <c r="G54" s="24" t="s">
        <v>242</v>
      </c>
      <c r="H54" s="25" t="s">
        <v>213</v>
      </c>
      <c r="I54" s="24" t="s">
        <v>525</v>
      </c>
      <c r="J54" s="24"/>
      <c r="K54" s="23" t="str">
        <f>"150,0"</f>
        <v>150,0</v>
      </c>
      <c r="L54" s="25" t="str">
        <f>"84,2850"</f>
        <v>84,2850</v>
      </c>
      <c r="M54" s="23" t="s">
        <v>49</v>
      </c>
    </row>
    <row r="55" spans="1:13" ht="12.75">
      <c r="A55" s="23" t="s">
        <v>531</v>
      </c>
      <c r="B55" s="23" t="s">
        <v>532</v>
      </c>
      <c r="C55" s="23" t="s">
        <v>533</v>
      </c>
      <c r="D55" s="23" t="str">
        <f>"0,5553"</f>
        <v>0,5553</v>
      </c>
      <c r="E55" s="23" t="s">
        <v>25</v>
      </c>
      <c r="F55" s="23" t="s">
        <v>385</v>
      </c>
      <c r="G55" s="24" t="s">
        <v>364</v>
      </c>
      <c r="H55" s="25" t="s">
        <v>214</v>
      </c>
      <c r="I55" s="24" t="s">
        <v>358</v>
      </c>
      <c r="J55" s="24"/>
      <c r="K55" s="23" t="str">
        <f>"155,0"</f>
        <v>155,0</v>
      </c>
      <c r="L55" s="25" t="str">
        <f>"86,0715"</f>
        <v>86,0715</v>
      </c>
      <c r="M55" s="23" t="s">
        <v>49</v>
      </c>
    </row>
    <row r="56" spans="1:13" ht="12.75">
      <c r="A56" s="23" t="s">
        <v>534</v>
      </c>
      <c r="B56" s="23" t="s">
        <v>535</v>
      </c>
      <c r="C56" s="23" t="s">
        <v>536</v>
      </c>
      <c r="D56" s="23" t="str">
        <f>"0,5570"</f>
        <v>0,5570</v>
      </c>
      <c r="E56" s="23" t="s">
        <v>25</v>
      </c>
      <c r="F56" s="23" t="s">
        <v>385</v>
      </c>
      <c r="G56" s="24" t="s">
        <v>364</v>
      </c>
      <c r="H56" s="24" t="s">
        <v>364</v>
      </c>
      <c r="I56" s="24" t="s">
        <v>364</v>
      </c>
      <c r="J56" s="24"/>
      <c r="K56" s="23" t="str">
        <f>"0.00"</f>
        <v>0.00</v>
      </c>
      <c r="L56" s="25" t="str">
        <f>"0,0000"</f>
        <v>0,0000</v>
      </c>
      <c r="M56" s="23" t="s">
        <v>49</v>
      </c>
    </row>
    <row r="57" spans="1:13" ht="12.75">
      <c r="A57" s="20" t="s">
        <v>538</v>
      </c>
      <c r="B57" s="20" t="s">
        <v>539</v>
      </c>
      <c r="C57" s="20" t="s">
        <v>540</v>
      </c>
      <c r="D57" s="20" t="str">
        <f>"0,5660"</f>
        <v>0,5660</v>
      </c>
      <c r="E57" s="20" t="s">
        <v>25</v>
      </c>
      <c r="F57" s="20" t="s">
        <v>26</v>
      </c>
      <c r="G57" s="21" t="s">
        <v>214</v>
      </c>
      <c r="H57" s="21" t="s">
        <v>517</v>
      </c>
      <c r="I57" s="22" t="s">
        <v>330</v>
      </c>
      <c r="J57" s="22"/>
      <c r="K57" s="20" t="str">
        <f>"165,0"</f>
        <v>165,0</v>
      </c>
      <c r="L57" s="21" t="str">
        <f>"97,8727"</f>
        <v>97,8727</v>
      </c>
      <c r="M57" s="20" t="s">
        <v>49</v>
      </c>
    </row>
    <row r="59" spans="1:12" ht="15">
      <c r="A59" s="49" t="s">
        <v>541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3" ht="12.75">
      <c r="A60" s="17" t="s">
        <v>543</v>
      </c>
      <c r="B60" s="17" t="s">
        <v>544</v>
      </c>
      <c r="C60" s="17" t="s">
        <v>545</v>
      </c>
      <c r="D60" s="17" t="str">
        <f>"0,5429"</f>
        <v>0,5429</v>
      </c>
      <c r="E60" s="17" t="s">
        <v>25</v>
      </c>
      <c r="F60" s="17" t="s">
        <v>126</v>
      </c>
      <c r="G60" s="18" t="s">
        <v>546</v>
      </c>
      <c r="H60" s="18" t="s">
        <v>237</v>
      </c>
      <c r="I60" s="19" t="s">
        <v>27</v>
      </c>
      <c r="J60" s="19"/>
      <c r="K60" s="17" t="str">
        <f>"172,5"</f>
        <v>172,5</v>
      </c>
      <c r="L60" s="18" t="str">
        <f>"93,6503"</f>
        <v>93,6503</v>
      </c>
      <c r="M60" s="17" t="s">
        <v>49</v>
      </c>
    </row>
    <row r="61" spans="1:13" ht="12.75">
      <c r="A61" s="20" t="s">
        <v>548</v>
      </c>
      <c r="B61" s="20" t="s">
        <v>549</v>
      </c>
      <c r="C61" s="20" t="s">
        <v>550</v>
      </c>
      <c r="D61" s="20" t="str">
        <f>"0,5410"</f>
        <v>0,5410</v>
      </c>
      <c r="E61" s="20" t="s">
        <v>25</v>
      </c>
      <c r="F61" s="20" t="s">
        <v>408</v>
      </c>
      <c r="G61" s="21" t="s">
        <v>31</v>
      </c>
      <c r="H61" s="22" t="s">
        <v>32</v>
      </c>
      <c r="I61" s="22" t="s">
        <v>32</v>
      </c>
      <c r="J61" s="22"/>
      <c r="K61" s="20" t="str">
        <f>"150,0"</f>
        <v>150,0</v>
      </c>
      <c r="L61" s="21" t="str">
        <f>"81,1500"</f>
        <v>81,1500</v>
      </c>
      <c r="M61" s="20" t="s">
        <v>49</v>
      </c>
    </row>
    <row r="63" spans="1:12" ht="15">
      <c r="A63" s="49" t="s">
        <v>50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3" ht="12.75">
      <c r="A64" s="17" t="s">
        <v>552</v>
      </c>
      <c r="B64" s="17" t="s">
        <v>553</v>
      </c>
      <c r="C64" s="17" t="s">
        <v>554</v>
      </c>
      <c r="D64" s="17" t="str">
        <f>"0,5231"</f>
        <v>0,5231</v>
      </c>
      <c r="E64" s="17" t="s">
        <v>25</v>
      </c>
      <c r="F64" s="17" t="s">
        <v>26</v>
      </c>
      <c r="G64" s="18" t="s">
        <v>33</v>
      </c>
      <c r="H64" s="19"/>
      <c r="I64" s="19"/>
      <c r="J64" s="19"/>
      <c r="K64" s="17" t="str">
        <f>"240,0"</f>
        <v>240,0</v>
      </c>
      <c r="L64" s="18" t="str">
        <f>"125,5440"</f>
        <v>125,5440</v>
      </c>
      <c r="M64" s="17" t="s">
        <v>555</v>
      </c>
    </row>
    <row r="65" spans="1:13" ht="12.75">
      <c r="A65" s="23" t="s">
        <v>557</v>
      </c>
      <c r="B65" s="23" t="s">
        <v>558</v>
      </c>
      <c r="C65" s="23" t="s">
        <v>559</v>
      </c>
      <c r="D65" s="23" t="str">
        <f>"0,5270"</f>
        <v>0,5270</v>
      </c>
      <c r="E65" s="23" t="s">
        <v>25</v>
      </c>
      <c r="F65" s="23" t="s">
        <v>26</v>
      </c>
      <c r="G65" s="24" t="s">
        <v>59</v>
      </c>
      <c r="H65" s="25" t="s">
        <v>59</v>
      </c>
      <c r="I65" s="24" t="s">
        <v>335</v>
      </c>
      <c r="J65" s="24"/>
      <c r="K65" s="23" t="str">
        <f>"175,0"</f>
        <v>175,0</v>
      </c>
      <c r="L65" s="25" t="str">
        <f>"92,2250"</f>
        <v>92,2250</v>
      </c>
      <c r="M65" s="23" t="s">
        <v>49</v>
      </c>
    </row>
    <row r="66" spans="1:13" ht="12.75">
      <c r="A66" s="20" t="s">
        <v>561</v>
      </c>
      <c r="B66" s="20" t="s">
        <v>562</v>
      </c>
      <c r="C66" s="20" t="s">
        <v>563</v>
      </c>
      <c r="D66" s="20" t="str">
        <f>"0,5241"</f>
        <v>0,5241</v>
      </c>
      <c r="E66" s="20" t="s">
        <v>25</v>
      </c>
      <c r="F66" s="20" t="s">
        <v>26</v>
      </c>
      <c r="G66" s="21" t="s">
        <v>313</v>
      </c>
      <c r="H66" s="21" t="s">
        <v>214</v>
      </c>
      <c r="I66" s="21" t="s">
        <v>509</v>
      </c>
      <c r="J66" s="22"/>
      <c r="K66" s="20" t="str">
        <f>"162,5"</f>
        <v>162,5</v>
      </c>
      <c r="L66" s="21" t="str">
        <f>"85,1663"</f>
        <v>85,1663</v>
      </c>
      <c r="M66" s="20" t="s">
        <v>49</v>
      </c>
    </row>
    <row r="68" spans="1:12" ht="15">
      <c r="A68" s="49" t="s">
        <v>564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3" ht="12.75">
      <c r="A69" s="8" t="s">
        <v>566</v>
      </c>
      <c r="B69" s="8" t="s">
        <v>567</v>
      </c>
      <c r="C69" s="8" t="s">
        <v>568</v>
      </c>
      <c r="D69" s="8" t="str">
        <f>"0,4633"</f>
        <v>0,4633</v>
      </c>
      <c r="E69" s="8" t="s">
        <v>25</v>
      </c>
      <c r="F69" s="8" t="s">
        <v>26</v>
      </c>
      <c r="G69" s="9" t="s">
        <v>219</v>
      </c>
      <c r="H69" s="10" t="s">
        <v>569</v>
      </c>
      <c r="I69" s="10" t="s">
        <v>569</v>
      </c>
      <c r="J69" s="10"/>
      <c r="K69" s="8" t="str">
        <f>"175,0"</f>
        <v>175,0</v>
      </c>
      <c r="L69" s="9" t="str">
        <f>"81,0688"</f>
        <v>81,0688</v>
      </c>
      <c r="M69" s="8" t="s">
        <v>49</v>
      </c>
    </row>
    <row r="71" ht="15">
      <c r="E71" s="6" t="s">
        <v>12</v>
      </c>
    </row>
    <row r="72" ht="15">
      <c r="E72" s="6" t="s">
        <v>13</v>
      </c>
    </row>
    <row r="73" ht="15">
      <c r="E73" s="6" t="s">
        <v>14</v>
      </c>
    </row>
    <row r="74" ht="15">
      <c r="E74" s="6" t="s">
        <v>15</v>
      </c>
    </row>
    <row r="75" ht="15">
      <c r="E75" s="6" t="s">
        <v>15</v>
      </c>
    </row>
    <row r="76" ht="15">
      <c r="E76" s="6" t="s">
        <v>16</v>
      </c>
    </row>
    <row r="77" ht="15">
      <c r="E77" s="6"/>
    </row>
    <row r="79" spans="1:2" ht="18">
      <c r="A79" s="7" t="s">
        <v>17</v>
      </c>
      <c r="B79" s="7"/>
    </row>
    <row r="80" spans="1:2" ht="15">
      <c r="A80" s="11" t="s">
        <v>245</v>
      </c>
      <c r="B80" s="11"/>
    </row>
    <row r="81" spans="1:2" ht="14.25">
      <c r="A81" s="13"/>
      <c r="B81" s="14" t="s">
        <v>246</v>
      </c>
    </row>
    <row r="82" spans="1:5" ht="15">
      <c r="A82" s="15" t="s">
        <v>63</v>
      </c>
      <c r="B82" s="15" t="s">
        <v>64</v>
      </c>
      <c r="C82" s="15" t="s">
        <v>65</v>
      </c>
      <c r="D82" s="15" t="s">
        <v>66</v>
      </c>
      <c r="E82" s="15" t="s">
        <v>67</v>
      </c>
    </row>
    <row r="83" spans="1:5" ht="12.75">
      <c r="A83" s="12" t="s">
        <v>393</v>
      </c>
      <c r="B83" s="5" t="s">
        <v>250</v>
      </c>
      <c r="C83" s="5" t="s">
        <v>248</v>
      </c>
      <c r="D83" s="5" t="s">
        <v>102</v>
      </c>
      <c r="E83" s="16" t="s">
        <v>570</v>
      </c>
    </row>
    <row r="85" spans="1:2" ht="14.25">
      <c r="A85" s="13"/>
      <c r="B85" s="14" t="s">
        <v>62</v>
      </c>
    </row>
    <row r="86" spans="1:5" ht="15">
      <c r="A86" s="15" t="s">
        <v>63</v>
      </c>
      <c r="B86" s="15" t="s">
        <v>64</v>
      </c>
      <c r="C86" s="15" t="s">
        <v>65</v>
      </c>
      <c r="D86" s="15" t="s">
        <v>66</v>
      </c>
      <c r="E86" s="15" t="s">
        <v>67</v>
      </c>
    </row>
    <row r="87" spans="1:5" ht="12.75">
      <c r="A87" s="12" t="s">
        <v>156</v>
      </c>
      <c r="B87" s="5" t="s">
        <v>62</v>
      </c>
      <c r="C87" s="5" t="s">
        <v>114</v>
      </c>
      <c r="D87" s="5" t="s">
        <v>119</v>
      </c>
      <c r="E87" s="16" t="s">
        <v>571</v>
      </c>
    </row>
    <row r="88" spans="1:5" ht="12.75">
      <c r="A88" s="12" t="s">
        <v>435</v>
      </c>
      <c r="B88" s="5" t="s">
        <v>62</v>
      </c>
      <c r="C88" s="5" t="s">
        <v>572</v>
      </c>
      <c r="D88" s="5" t="s">
        <v>120</v>
      </c>
      <c r="E88" s="16" t="s">
        <v>573</v>
      </c>
    </row>
    <row r="89" spans="1:5" ht="12.75">
      <c r="A89" s="12" t="s">
        <v>430</v>
      </c>
      <c r="B89" s="5" t="s">
        <v>62</v>
      </c>
      <c r="C89" s="5" t="s">
        <v>141</v>
      </c>
      <c r="D89" s="5" t="s">
        <v>115</v>
      </c>
      <c r="E89" s="16" t="s">
        <v>574</v>
      </c>
    </row>
    <row r="90" spans="1:5" ht="12.75">
      <c r="A90" s="12" t="s">
        <v>404</v>
      </c>
      <c r="B90" s="5" t="s">
        <v>62</v>
      </c>
      <c r="C90" s="5" t="s">
        <v>115</v>
      </c>
      <c r="D90" s="5" t="s">
        <v>114</v>
      </c>
      <c r="E90" s="16" t="s">
        <v>575</v>
      </c>
    </row>
    <row r="91" spans="1:5" ht="12.75">
      <c r="A91" s="12" t="s">
        <v>409</v>
      </c>
      <c r="B91" s="5" t="s">
        <v>62</v>
      </c>
      <c r="C91" s="5" t="s">
        <v>115</v>
      </c>
      <c r="D91" s="5" t="s">
        <v>413</v>
      </c>
      <c r="E91" s="16" t="s">
        <v>576</v>
      </c>
    </row>
    <row r="92" spans="1:5" ht="12.75">
      <c r="A92" s="12" t="s">
        <v>398</v>
      </c>
      <c r="B92" s="5" t="s">
        <v>62</v>
      </c>
      <c r="C92" s="5" t="s">
        <v>114</v>
      </c>
      <c r="D92" s="5" t="s">
        <v>577</v>
      </c>
      <c r="E92" s="16" t="s">
        <v>578</v>
      </c>
    </row>
    <row r="93" spans="1:5" ht="12.75">
      <c r="A93" s="12" t="s">
        <v>414</v>
      </c>
      <c r="B93" s="5" t="s">
        <v>62</v>
      </c>
      <c r="C93" s="5" t="s">
        <v>115</v>
      </c>
      <c r="D93" s="5" t="s">
        <v>420</v>
      </c>
      <c r="E93" s="16" t="s">
        <v>579</v>
      </c>
    </row>
    <row r="95" spans="1:2" ht="14.25">
      <c r="A95" s="13"/>
      <c r="B95" s="14" t="s">
        <v>268</v>
      </c>
    </row>
    <row r="96" spans="1:5" ht="15">
      <c r="A96" s="15" t="s">
        <v>63</v>
      </c>
      <c r="B96" s="15" t="s">
        <v>64</v>
      </c>
      <c r="C96" s="15" t="s">
        <v>65</v>
      </c>
      <c r="D96" s="15" t="s">
        <v>66</v>
      </c>
      <c r="E96" s="15" t="s">
        <v>67</v>
      </c>
    </row>
    <row r="97" spans="1:5" ht="12.75">
      <c r="A97" s="12" t="s">
        <v>424</v>
      </c>
      <c r="B97" s="5" t="s">
        <v>359</v>
      </c>
      <c r="C97" s="5" t="s">
        <v>115</v>
      </c>
      <c r="D97" s="5" t="s">
        <v>119</v>
      </c>
      <c r="E97" s="16" t="s">
        <v>580</v>
      </c>
    </row>
    <row r="100" spans="1:2" ht="15">
      <c r="A100" s="11" t="s">
        <v>61</v>
      </c>
      <c r="B100" s="11"/>
    </row>
    <row r="101" spans="1:2" ht="14.25">
      <c r="A101" s="13"/>
      <c r="B101" s="14" t="s">
        <v>274</v>
      </c>
    </row>
    <row r="102" spans="1:5" ht="15">
      <c r="A102" s="15" t="s">
        <v>63</v>
      </c>
      <c r="B102" s="15" t="s">
        <v>64</v>
      </c>
      <c r="C102" s="15" t="s">
        <v>65</v>
      </c>
      <c r="D102" s="15" t="s">
        <v>66</v>
      </c>
      <c r="E102" s="15" t="s">
        <v>67</v>
      </c>
    </row>
    <row r="103" spans="1:5" ht="12.75">
      <c r="A103" s="12" t="s">
        <v>444</v>
      </c>
      <c r="B103" s="5" t="s">
        <v>250</v>
      </c>
      <c r="C103" s="5" t="s">
        <v>141</v>
      </c>
      <c r="D103" s="5" t="s">
        <v>342</v>
      </c>
      <c r="E103" s="16" t="s">
        <v>581</v>
      </c>
    </row>
    <row r="104" spans="1:5" ht="12.75">
      <c r="A104" s="12" t="s">
        <v>440</v>
      </c>
      <c r="B104" s="5" t="s">
        <v>247</v>
      </c>
      <c r="C104" s="5" t="s">
        <v>248</v>
      </c>
      <c r="D104" s="5" t="s">
        <v>114</v>
      </c>
      <c r="E104" s="16" t="s">
        <v>582</v>
      </c>
    </row>
    <row r="106" spans="1:2" ht="14.25">
      <c r="A106" s="13"/>
      <c r="B106" s="14" t="s">
        <v>62</v>
      </c>
    </row>
    <row r="107" spans="1:5" ht="15">
      <c r="A107" s="15" t="s">
        <v>63</v>
      </c>
      <c r="B107" s="15" t="s">
        <v>64</v>
      </c>
      <c r="C107" s="15" t="s">
        <v>65</v>
      </c>
      <c r="D107" s="15" t="s">
        <v>66</v>
      </c>
      <c r="E107" s="15" t="s">
        <v>67</v>
      </c>
    </row>
    <row r="108" spans="1:5" ht="12.75">
      <c r="A108" s="12" t="s">
        <v>551</v>
      </c>
      <c r="B108" s="5" t="s">
        <v>62</v>
      </c>
      <c r="C108" s="5" t="s">
        <v>68</v>
      </c>
      <c r="D108" s="5" t="s">
        <v>270</v>
      </c>
      <c r="E108" s="16" t="s">
        <v>583</v>
      </c>
    </row>
    <row r="109" spans="1:5" ht="12.75">
      <c r="A109" s="12" t="s">
        <v>501</v>
      </c>
      <c r="B109" s="5" t="s">
        <v>62</v>
      </c>
      <c r="C109" s="5" t="s">
        <v>71</v>
      </c>
      <c r="D109" s="5" t="s">
        <v>27</v>
      </c>
      <c r="E109" s="16" t="s">
        <v>584</v>
      </c>
    </row>
    <row r="110" spans="1:5" ht="12.75">
      <c r="A110" s="12" t="s">
        <v>449</v>
      </c>
      <c r="B110" s="5" t="s">
        <v>62</v>
      </c>
      <c r="C110" s="5" t="s">
        <v>141</v>
      </c>
      <c r="D110" s="5" t="s">
        <v>213</v>
      </c>
      <c r="E110" s="16" t="s">
        <v>585</v>
      </c>
    </row>
    <row r="111" spans="1:5" ht="12.75">
      <c r="A111" s="12" t="s">
        <v>477</v>
      </c>
      <c r="B111" s="5" t="s">
        <v>62</v>
      </c>
      <c r="C111" s="5" t="s">
        <v>265</v>
      </c>
      <c r="D111" s="5" t="s">
        <v>213</v>
      </c>
      <c r="E111" s="16" t="s">
        <v>586</v>
      </c>
    </row>
    <row r="112" spans="1:5" ht="12.75">
      <c r="A112" s="12" t="s">
        <v>542</v>
      </c>
      <c r="B112" s="5" t="s">
        <v>62</v>
      </c>
      <c r="C112" s="5" t="s">
        <v>497</v>
      </c>
      <c r="D112" s="5" t="s">
        <v>367</v>
      </c>
      <c r="E112" s="16" t="s">
        <v>587</v>
      </c>
    </row>
    <row r="113" spans="1:5" ht="12.75">
      <c r="A113" s="12" t="s">
        <v>511</v>
      </c>
      <c r="B113" s="5" t="s">
        <v>62</v>
      </c>
      <c r="C113" s="5" t="s">
        <v>74</v>
      </c>
      <c r="D113" s="5" t="s">
        <v>515</v>
      </c>
      <c r="E113" s="16" t="s">
        <v>588</v>
      </c>
    </row>
    <row r="114" spans="1:5" ht="12.75">
      <c r="A114" s="12" t="s">
        <v>556</v>
      </c>
      <c r="B114" s="5" t="s">
        <v>62</v>
      </c>
      <c r="C114" s="5" t="s">
        <v>68</v>
      </c>
      <c r="D114" s="5" t="s">
        <v>59</v>
      </c>
      <c r="E114" s="16" t="s">
        <v>589</v>
      </c>
    </row>
    <row r="115" spans="1:5" ht="12.75">
      <c r="A115" s="12" t="s">
        <v>481</v>
      </c>
      <c r="B115" s="5" t="s">
        <v>62</v>
      </c>
      <c r="C115" s="5" t="s">
        <v>265</v>
      </c>
      <c r="D115" s="5" t="s">
        <v>370</v>
      </c>
      <c r="E115" s="16" t="s">
        <v>590</v>
      </c>
    </row>
    <row r="116" spans="1:5" ht="12.75">
      <c r="A116" s="12" t="s">
        <v>386</v>
      </c>
      <c r="B116" s="5" t="s">
        <v>62</v>
      </c>
      <c r="C116" s="5" t="s">
        <v>74</v>
      </c>
      <c r="D116" s="5" t="s">
        <v>515</v>
      </c>
      <c r="E116" s="16" t="s">
        <v>591</v>
      </c>
    </row>
    <row r="117" spans="1:5" ht="12.75">
      <c r="A117" s="12" t="s">
        <v>518</v>
      </c>
      <c r="B117" s="5" t="s">
        <v>62</v>
      </c>
      <c r="C117" s="5" t="s">
        <v>74</v>
      </c>
      <c r="D117" s="5" t="s">
        <v>525</v>
      </c>
      <c r="E117" s="16" t="s">
        <v>592</v>
      </c>
    </row>
    <row r="118" spans="1:5" ht="12.75">
      <c r="A118" s="12" t="s">
        <v>522</v>
      </c>
      <c r="B118" s="5" t="s">
        <v>62</v>
      </c>
      <c r="C118" s="5" t="s">
        <v>74</v>
      </c>
      <c r="D118" s="5" t="s">
        <v>525</v>
      </c>
      <c r="E118" s="16" t="s">
        <v>593</v>
      </c>
    </row>
    <row r="119" spans="1:5" ht="12.75">
      <c r="A119" s="12" t="s">
        <v>456</v>
      </c>
      <c r="B119" s="5" t="s">
        <v>62</v>
      </c>
      <c r="C119" s="5" t="s">
        <v>141</v>
      </c>
      <c r="D119" s="5" t="s">
        <v>460</v>
      </c>
      <c r="E119" s="16" t="s">
        <v>594</v>
      </c>
    </row>
    <row r="120" spans="1:5" ht="12.75">
      <c r="A120" s="12" t="s">
        <v>485</v>
      </c>
      <c r="B120" s="5" t="s">
        <v>62</v>
      </c>
      <c r="C120" s="5" t="s">
        <v>265</v>
      </c>
      <c r="D120" s="5" t="s">
        <v>242</v>
      </c>
      <c r="E120" s="16" t="s">
        <v>595</v>
      </c>
    </row>
    <row r="121" spans="1:5" ht="12.75">
      <c r="A121" s="12" t="s">
        <v>560</v>
      </c>
      <c r="B121" s="5" t="s">
        <v>62</v>
      </c>
      <c r="C121" s="5" t="s">
        <v>68</v>
      </c>
      <c r="D121" s="5" t="s">
        <v>525</v>
      </c>
      <c r="E121" s="16" t="s">
        <v>596</v>
      </c>
    </row>
    <row r="122" spans="1:5" ht="12.75">
      <c r="A122" s="12" t="s">
        <v>526</v>
      </c>
      <c r="B122" s="5" t="s">
        <v>62</v>
      </c>
      <c r="C122" s="5" t="s">
        <v>74</v>
      </c>
      <c r="D122" s="5" t="s">
        <v>213</v>
      </c>
      <c r="E122" s="16" t="s">
        <v>597</v>
      </c>
    </row>
    <row r="123" spans="1:5" ht="12.75">
      <c r="A123" s="12" t="s">
        <v>489</v>
      </c>
      <c r="B123" s="5" t="s">
        <v>62</v>
      </c>
      <c r="C123" s="5" t="s">
        <v>265</v>
      </c>
      <c r="D123" s="5" t="s">
        <v>342</v>
      </c>
      <c r="E123" s="16" t="s">
        <v>598</v>
      </c>
    </row>
    <row r="124" spans="1:5" ht="12.75">
      <c r="A124" s="12" t="s">
        <v>547</v>
      </c>
      <c r="B124" s="5" t="s">
        <v>62</v>
      </c>
      <c r="C124" s="5" t="s">
        <v>497</v>
      </c>
      <c r="D124" s="5" t="s">
        <v>213</v>
      </c>
      <c r="E124" s="16" t="s">
        <v>599</v>
      </c>
    </row>
    <row r="125" spans="1:5" ht="12.75">
      <c r="A125" s="12" t="s">
        <v>565</v>
      </c>
      <c r="B125" s="5" t="s">
        <v>62</v>
      </c>
      <c r="C125" s="5" t="s">
        <v>600</v>
      </c>
      <c r="D125" s="5" t="s">
        <v>59</v>
      </c>
      <c r="E125" s="16" t="s">
        <v>601</v>
      </c>
    </row>
    <row r="126" spans="1:5" ht="12.75">
      <c r="A126" s="12" t="s">
        <v>493</v>
      </c>
      <c r="B126" s="5" t="s">
        <v>62</v>
      </c>
      <c r="C126" s="5" t="s">
        <v>265</v>
      </c>
      <c r="D126" s="5" t="s">
        <v>341</v>
      </c>
      <c r="E126" s="16" t="s">
        <v>602</v>
      </c>
    </row>
    <row r="128" spans="1:2" ht="14.25">
      <c r="A128" s="13"/>
      <c r="B128" s="14" t="s">
        <v>268</v>
      </c>
    </row>
    <row r="129" spans="1:5" ht="15">
      <c r="A129" s="15" t="s">
        <v>63</v>
      </c>
      <c r="B129" s="15" t="s">
        <v>64</v>
      </c>
      <c r="C129" s="15" t="s">
        <v>65</v>
      </c>
      <c r="D129" s="15" t="s">
        <v>66</v>
      </c>
      <c r="E129" s="15" t="s">
        <v>67</v>
      </c>
    </row>
    <row r="130" spans="1:5" ht="12.75">
      <c r="A130" s="12" t="s">
        <v>471</v>
      </c>
      <c r="B130" s="5" t="s">
        <v>603</v>
      </c>
      <c r="C130" s="5" t="s">
        <v>141</v>
      </c>
      <c r="D130" s="5" t="s">
        <v>145</v>
      </c>
      <c r="E130" s="16" t="s">
        <v>604</v>
      </c>
    </row>
    <row r="131" spans="1:5" ht="12.75">
      <c r="A131" s="12" t="s">
        <v>336</v>
      </c>
      <c r="B131" s="5" t="s">
        <v>372</v>
      </c>
      <c r="C131" s="5" t="s">
        <v>71</v>
      </c>
      <c r="D131" s="5" t="s">
        <v>373</v>
      </c>
      <c r="E131" s="16" t="s">
        <v>605</v>
      </c>
    </row>
    <row r="132" spans="1:5" ht="12.75">
      <c r="A132" s="12" t="s">
        <v>465</v>
      </c>
      <c r="B132" s="5" t="s">
        <v>606</v>
      </c>
      <c r="C132" s="5" t="s">
        <v>141</v>
      </c>
      <c r="D132" s="5" t="s">
        <v>342</v>
      </c>
      <c r="E132" s="16" t="s">
        <v>607</v>
      </c>
    </row>
    <row r="133" spans="1:5" ht="12.75">
      <c r="A133" s="12" t="s">
        <v>505</v>
      </c>
      <c r="B133" s="5" t="s">
        <v>269</v>
      </c>
      <c r="C133" s="5" t="s">
        <v>71</v>
      </c>
      <c r="D133" s="5" t="s">
        <v>330</v>
      </c>
      <c r="E133" s="16" t="s">
        <v>608</v>
      </c>
    </row>
    <row r="134" spans="1:5" ht="12.75">
      <c r="A134" s="12" t="s">
        <v>537</v>
      </c>
      <c r="B134" s="5" t="s">
        <v>359</v>
      </c>
      <c r="C134" s="5" t="s">
        <v>74</v>
      </c>
      <c r="D134" s="5" t="s">
        <v>515</v>
      </c>
      <c r="E134" s="16" t="s">
        <v>609</v>
      </c>
    </row>
    <row r="135" spans="1:5" ht="12.75">
      <c r="A135" s="12" t="s">
        <v>485</v>
      </c>
      <c r="B135" s="5" t="s">
        <v>269</v>
      </c>
      <c r="C135" s="5" t="s">
        <v>265</v>
      </c>
      <c r="D135" s="5" t="s">
        <v>242</v>
      </c>
      <c r="E135" s="16" t="s">
        <v>595</v>
      </c>
    </row>
    <row r="136" spans="1:5" ht="12.75">
      <c r="A136" s="12" t="s">
        <v>530</v>
      </c>
      <c r="B136" s="5" t="s">
        <v>269</v>
      </c>
      <c r="C136" s="5" t="s">
        <v>74</v>
      </c>
      <c r="D136" s="5" t="s">
        <v>364</v>
      </c>
      <c r="E136" s="16" t="s">
        <v>610</v>
      </c>
    </row>
  </sheetData>
  <sheetProtection/>
  <mergeCells count="24">
    <mergeCell ref="A49:L49"/>
    <mergeCell ref="A59:L59"/>
    <mergeCell ref="A63:L63"/>
    <mergeCell ref="A68:L68"/>
    <mergeCell ref="A25:L25"/>
    <mergeCell ref="A28:L28"/>
    <mergeCell ref="A36:L36"/>
    <mergeCell ref="A44:L44"/>
    <mergeCell ref="A8:L8"/>
    <mergeCell ref="A12:L12"/>
    <mergeCell ref="A19:L19"/>
    <mergeCell ref="A22:L22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38.125" style="5" bestFit="1" customWidth="1"/>
    <col min="7" max="9" width="6.625" style="4" bestFit="1" customWidth="1"/>
    <col min="10" max="10" width="4.875" style="4" bestFit="1" customWidth="1"/>
    <col min="11" max="13" width="6.625" style="4" bestFit="1" customWidth="1"/>
    <col min="14" max="14" width="4.875" style="4" bestFit="1" customWidth="1"/>
    <col min="15" max="17" width="6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2.125" style="5" bestFit="1" customWidth="1"/>
    <col min="22" max="16384" width="9.125" style="4" customWidth="1"/>
  </cols>
  <sheetData>
    <row r="1" spans="1:21" s="3" customFormat="1" ht="28.5" customHeight="1">
      <c r="A1" s="40" t="s">
        <v>866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12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3</v>
      </c>
      <c r="H3" s="34"/>
      <c r="I3" s="34"/>
      <c r="J3" s="34"/>
      <c r="K3" s="34" t="s">
        <v>4</v>
      </c>
      <c r="L3" s="36" t="s">
        <v>5</v>
      </c>
    </row>
    <row r="4" spans="1:12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7"/>
    </row>
    <row r="5" spans="1:20" ht="15">
      <c r="A5" s="38" t="s">
        <v>865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 ht="12.75">
      <c r="A6" s="26" t="s">
        <v>867</v>
      </c>
      <c r="B6" s="26" t="s">
        <v>881</v>
      </c>
      <c r="C6" s="26" t="s">
        <v>868</v>
      </c>
      <c r="D6" s="8"/>
      <c r="E6" s="26" t="s">
        <v>869</v>
      </c>
      <c r="F6" s="26" t="s">
        <v>872</v>
      </c>
      <c r="G6" s="27" t="s">
        <v>870</v>
      </c>
      <c r="H6" s="10" t="s">
        <v>871</v>
      </c>
      <c r="I6" s="9"/>
      <c r="J6" s="10"/>
      <c r="K6" s="27" t="s">
        <v>870</v>
      </c>
      <c r="L6" s="17" t="s">
        <v>121</v>
      </c>
      <c r="M6" s="17"/>
      <c r="N6" s="10"/>
      <c r="O6" s="9"/>
      <c r="P6" s="9"/>
      <c r="Q6" s="10"/>
      <c r="R6" s="10"/>
      <c r="S6" s="8"/>
      <c r="T6" s="9"/>
      <c r="U6" s="17"/>
    </row>
    <row r="7" ht="13.5" thickBot="1"/>
    <row r="8" spans="1:20" ht="15">
      <c r="A8" s="38" t="s">
        <v>20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1" ht="12.75">
      <c r="A9" s="28" t="s">
        <v>873</v>
      </c>
      <c r="B9" s="28" t="s">
        <v>880</v>
      </c>
      <c r="C9" s="28" t="s">
        <v>874</v>
      </c>
      <c r="D9" s="17"/>
      <c r="E9" s="26" t="s">
        <v>869</v>
      </c>
      <c r="F9" s="26" t="s">
        <v>872</v>
      </c>
      <c r="G9" s="29" t="s">
        <v>871</v>
      </c>
      <c r="H9" s="29" t="s">
        <v>875</v>
      </c>
      <c r="I9" s="18"/>
      <c r="J9" s="19"/>
      <c r="K9" s="29" t="s">
        <v>875</v>
      </c>
      <c r="L9" s="17" t="s">
        <v>121</v>
      </c>
      <c r="M9" s="19"/>
      <c r="N9" s="19"/>
      <c r="O9" s="18"/>
      <c r="P9" s="18"/>
      <c r="Q9" s="19"/>
      <c r="R9" s="19"/>
      <c r="S9" s="17"/>
      <c r="T9" s="18"/>
      <c r="U9" s="17"/>
    </row>
    <row r="10" spans="1:21" ht="12.75">
      <c r="A10" s="30" t="s">
        <v>876</v>
      </c>
      <c r="B10" s="30" t="s">
        <v>882</v>
      </c>
      <c r="C10" s="30" t="s">
        <v>877</v>
      </c>
      <c r="D10" s="20"/>
      <c r="E10" s="20"/>
      <c r="F10" s="30" t="s">
        <v>883</v>
      </c>
      <c r="G10" s="31" t="s">
        <v>878</v>
      </c>
      <c r="H10" s="31" t="s">
        <v>879</v>
      </c>
      <c r="I10" s="21"/>
      <c r="J10" s="22"/>
      <c r="K10" s="31" t="s">
        <v>879</v>
      </c>
      <c r="L10" s="21"/>
      <c r="M10" s="22"/>
      <c r="N10" s="22"/>
      <c r="O10" s="21"/>
      <c r="P10" s="21"/>
      <c r="Q10" s="22"/>
      <c r="R10" s="22"/>
      <c r="S10" s="20"/>
      <c r="T10" s="21"/>
      <c r="U10" s="20" t="s">
        <v>49</v>
      </c>
    </row>
    <row r="12" spans="1:20" ht="1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1" ht="12.75">
      <c r="A13" s="17"/>
      <c r="B13" s="17"/>
      <c r="C13" s="17"/>
      <c r="D13" s="17"/>
      <c r="E13" s="17"/>
      <c r="F13" s="17"/>
      <c r="G13" s="18"/>
      <c r="H13" s="18"/>
      <c r="I13" s="19"/>
      <c r="J13" s="19"/>
      <c r="K13" s="19"/>
      <c r="L13" s="18"/>
      <c r="M13" s="18"/>
      <c r="N13" s="19"/>
      <c r="O13" s="18"/>
      <c r="P13" s="18"/>
      <c r="Q13" s="19"/>
      <c r="R13" s="19"/>
      <c r="S13" s="17"/>
      <c r="T13" s="18"/>
      <c r="U13" s="17" t="s">
        <v>49</v>
      </c>
    </row>
    <row r="14" spans="1:21" ht="12.75">
      <c r="A14" s="20"/>
      <c r="B14" s="20"/>
      <c r="C14" s="20"/>
      <c r="D14" s="20"/>
      <c r="E14" s="20"/>
      <c r="F14" s="20"/>
      <c r="G14" s="21"/>
      <c r="H14" s="21"/>
      <c r="I14" s="22"/>
      <c r="J14" s="22"/>
      <c r="K14" s="21"/>
      <c r="L14" s="22"/>
      <c r="M14" s="22"/>
      <c r="N14" s="22"/>
      <c r="O14" s="21"/>
      <c r="P14" s="21"/>
      <c r="Q14" s="22"/>
      <c r="R14" s="22"/>
      <c r="S14" s="20"/>
      <c r="T14" s="21"/>
      <c r="U14" s="20" t="s">
        <v>49</v>
      </c>
    </row>
    <row r="16" spans="1:20" ht="1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1" ht="12.75">
      <c r="A17" s="17"/>
      <c r="B17" s="17"/>
      <c r="C17" s="17"/>
      <c r="D17" s="17"/>
      <c r="E17" s="17"/>
      <c r="F17" s="17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7"/>
      <c r="T17" s="18"/>
      <c r="U17" s="17" t="s">
        <v>49</v>
      </c>
    </row>
    <row r="18" spans="1:21" ht="12.75">
      <c r="A18" s="20"/>
      <c r="B18" s="20"/>
      <c r="C18" s="20"/>
      <c r="D18" s="20"/>
      <c r="E18" s="20"/>
      <c r="F18" s="20"/>
      <c r="G18" s="21"/>
      <c r="H18" s="21"/>
      <c r="I18" s="22"/>
      <c r="J18" s="22"/>
      <c r="K18" s="21"/>
      <c r="L18" s="22"/>
      <c r="M18" s="22"/>
      <c r="N18" s="22"/>
      <c r="O18" s="21"/>
      <c r="P18" s="21"/>
      <c r="Q18" s="21"/>
      <c r="R18" s="22"/>
      <c r="S18" s="20"/>
      <c r="T18" s="21"/>
      <c r="U18" s="20" t="s">
        <v>49</v>
      </c>
    </row>
    <row r="20" spans="1:20" ht="1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1" ht="12.75">
      <c r="A21" s="17"/>
      <c r="B21" s="17"/>
      <c r="C21" s="17"/>
      <c r="D21" s="17"/>
      <c r="E21" s="17"/>
      <c r="F21" s="17"/>
      <c r="G21" s="18"/>
      <c r="H21" s="18"/>
      <c r="I21" s="18"/>
      <c r="J21" s="19"/>
      <c r="K21" s="18"/>
      <c r="L21" s="19"/>
      <c r="M21" s="19"/>
      <c r="N21" s="19"/>
      <c r="O21" s="18"/>
      <c r="P21" s="18"/>
      <c r="Q21" s="18"/>
      <c r="R21" s="19"/>
      <c r="S21" s="17"/>
      <c r="T21" s="18"/>
      <c r="U21" s="17" t="s">
        <v>49</v>
      </c>
    </row>
    <row r="22" spans="1:21" ht="12.75">
      <c r="A22" s="20"/>
      <c r="B22" s="20"/>
      <c r="C22" s="20"/>
      <c r="D22" s="20"/>
      <c r="E22" s="20"/>
      <c r="F22" s="20"/>
      <c r="G22" s="21"/>
      <c r="H22" s="21"/>
      <c r="I22" s="21"/>
      <c r="J22" s="22"/>
      <c r="K22" s="21"/>
      <c r="L22" s="22"/>
      <c r="M22" s="22"/>
      <c r="N22" s="22"/>
      <c r="O22" s="21"/>
      <c r="P22" s="21"/>
      <c r="Q22" s="21"/>
      <c r="R22" s="22"/>
      <c r="S22" s="20"/>
      <c r="T22" s="21"/>
      <c r="U22" s="20" t="s">
        <v>49</v>
      </c>
    </row>
    <row r="24" spans="1:20" ht="1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1" ht="12.75">
      <c r="A25" s="8"/>
      <c r="B25" s="8"/>
      <c r="C25" s="8"/>
      <c r="D25" s="8"/>
      <c r="E25" s="8"/>
      <c r="F25" s="8"/>
      <c r="G25" s="9"/>
      <c r="H25" s="9"/>
      <c r="I25" s="9"/>
      <c r="J25" s="10"/>
      <c r="K25" s="9"/>
      <c r="L25" s="10"/>
      <c r="M25" s="9"/>
      <c r="N25" s="10"/>
      <c r="O25" s="9"/>
      <c r="P25" s="9"/>
      <c r="Q25" s="9"/>
      <c r="R25" s="10"/>
      <c r="S25" s="8"/>
      <c r="T25" s="9"/>
      <c r="U25" s="8" t="s">
        <v>49</v>
      </c>
    </row>
    <row r="27" spans="1:20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1" ht="12.75">
      <c r="A28" s="17"/>
      <c r="B28" s="17"/>
      <c r="C28" s="17"/>
      <c r="D28" s="17"/>
      <c r="E28" s="17"/>
      <c r="F28" s="17"/>
      <c r="G28" s="18"/>
      <c r="H28" s="18"/>
      <c r="I28" s="18"/>
      <c r="J28" s="19"/>
      <c r="K28" s="18"/>
      <c r="L28" s="18"/>
      <c r="M28" s="19"/>
      <c r="N28" s="19"/>
      <c r="O28" s="18"/>
      <c r="P28" s="18"/>
      <c r="Q28" s="18"/>
      <c r="R28" s="19"/>
      <c r="S28" s="17"/>
      <c r="T28" s="18"/>
      <c r="U28" s="17" t="s">
        <v>49</v>
      </c>
    </row>
    <row r="29" spans="1:21" ht="12.75">
      <c r="A29" s="20"/>
      <c r="B29" s="20"/>
      <c r="C29" s="20"/>
      <c r="D29" s="20"/>
      <c r="E29" s="20"/>
      <c r="F29" s="20"/>
      <c r="G29" s="21"/>
      <c r="H29" s="21"/>
      <c r="I29" s="21"/>
      <c r="J29" s="22"/>
      <c r="K29" s="21"/>
      <c r="L29" s="21"/>
      <c r="M29" s="22"/>
      <c r="N29" s="22"/>
      <c r="O29" s="22"/>
      <c r="P29" s="21"/>
      <c r="Q29" s="21"/>
      <c r="R29" s="22"/>
      <c r="S29" s="20"/>
      <c r="T29" s="21"/>
      <c r="U29" s="20" t="s">
        <v>206</v>
      </c>
    </row>
    <row r="31" spans="1:20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1" ht="12.75">
      <c r="A32" s="17"/>
      <c r="B32" s="17"/>
      <c r="C32" s="17"/>
      <c r="D32" s="17"/>
      <c r="E32" s="17"/>
      <c r="F32" s="17"/>
      <c r="G32" s="18"/>
      <c r="H32" s="18"/>
      <c r="I32" s="18"/>
      <c r="J32" s="19"/>
      <c r="K32" s="18"/>
      <c r="L32" s="18"/>
      <c r="M32" s="18"/>
      <c r="N32" s="19"/>
      <c r="O32" s="18"/>
      <c r="P32" s="19"/>
      <c r="Q32" s="18"/>
      <c r="R32" s="19"/>
      <c r="S32" s="17"/>
      <c r="T32" s="18"/>
      <c r="U32" s="17" t="s">
        <v>49</v>
      </c>
    </row>
    <row r="33" spans="1:21" ht="12.75">
      <c r="A33" s="20"/>
      <c r="B33" s="20"/>
      <c r="C33" s="20"/>
      <c r="D33" s="20"/>
      <c r="E33" s="20"/>
      <c r="F33" s="20"/>
      <c r="G33" s="21"/>
      <c r="H33" s="22"/>
      <c r="I33" s="22"/>
      <c r="J33" s="22"/>
      <c r="K33" s="21"/>
      <c r="L33" s="21"/>
      <c r="M33" s="22"/>
      <c r="N33" s="22"/>
      <c r="O33" s="21"/>
      <c r="P33" s="22"/>
      <c r="Q33" s="22"/>
      <c r="R33" s="22"/>
      <c r="S33" s="20"/>
      <c r="T33" s="21"/>
      <c r="U33" s="20" t="s">
        <v>49</v>
      </c>
    </row>
    <row r="35" spans="1:20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1" ht="12.75">
      <c r="A36" s="17"/>
      <c r="B36" s="17"/>
      <c r="C36" s="17"/>
      <c r="D36" s="17"/>
      <c r="E36" s="17"/>
      <c r="F36" s="17"/>
      <c r="G36" s="18"/>
      <c r="H36" s="19"/>
      <c r="I36" s="18"/>
      <c r="J36" s="19"/>
      <c r="K36" s="18"/>
      <c r="L36" s="18"/>
      <c r="M36" s="19"/>
      <c r="N36" s="19"/>
      <c r="O36" s="18"/>
      <c r="P36" s="18"/>
      <c r="Q36" s="18"/>
      <c r="R36" s="19"/>
      <c r="S36" s="17"/>
      <c r="T36" s="18"/>
      <c r="U36" s="17" t="s">
        <v>49</v>
      </c>
    </row>
    <row r="37" spans="1:21" ht="12.75">
      <c r="A37" s="20"/>
      <c r="B37" s="20"/>
      <c r="C37" s="20"/>
      <c r="D37" s="20"/>
      <c r="E37" s="20"/>
      <c r="F37" s="20"/>
      <c r="G37" s="21"/>
      <c r="H37" s="21"/>
      <c r="I37" s="21"/>
      <c r="J37" s="22"/>
      <c r="K37" s="21"/>
      <c r="L37" s="21"/>
      <c r="M37" s="21"/>
      <c r="N37" s="22"/>
      <c r="O37" s="21"/>
      <c r="P37" s="21"/>
      <c r="Q37" s="21"/>
      <c r="R37" s="22"/>
      <c r="S37" s="20"/>
      <c r="T37" s="21"/>
      <c r="U37" s="20" t="s">
        <v>49</v>
      </c>
    </row>
    <row r="39" spans="1:20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1" ht="12.75">
      <c r="A40" s="8"/>
      <c r="B40" s="8"/>
      <c r="C40" s="8"/>
      <c r="D40" s="8"/>
      <c r="E40" s="8"/>
      <c r="F40" s="8"/>
      <c r="G40" s="9"/>
      <c r="H40" s="9"/>
      <c r="I40" s="9"/>
      <c r="J40" s="10"/>
      <c r="K40" s="9"/>
      <c r="L40" s="9"/>
      <c r="M40" s="10"/>
      <c r="N40" s="10"/>
      <c r="O40" s="9"/>
      <c r="P40" s="9"/>
      <c r="Q40" s="9"/>
      <c r="R40" s="10"/>
      <c r="S40" s="8"/>
      <c r="T40" s="9"/>
      <c r="U40" s="8" t="s">
        <v>49</v>
      </c>
    </row>
    <row r="42" ht="15">
      <c r="E42" s="6" t="s">
        <v>12</v>
      </c>
    </row>
    <row r="43" ht="15">
      <c r="E43" s="6" t="s">
        <v>13</v>
      </c>
    </row>
    <row r="44" ht="15">
      <c r="E44" s="6" t="s">
        <v>14</v>
      </c>
    </row>
    <row r="45" ht="15">
      <c r="E45" s="6" t="s">
        <v>15</v>
      </c>
    </row>
    <row r="46" ht="15">
      <c r="E46" s="6" t="s">
        <v>15</v>
      </c>
    </row>
    <row r="47" ht="15">
      <c r="E47" s="6" t="s">
        <v>16</v>
      </c>
    </row>
    <row r="48" ht="15">
      <c r="E48" s="6"/>
    </row>
    <row r="50" spans="1:2" ht="18">
      <c r="A50" s="7" t="s">
        <v>17</v>
      </c>
      <c r="B50" s="7"/>
    </row>
    <row r="52" spans="1:2" ht="14.25">
      <c r="A52" s="13"/>
      <c r="B52" s="14" t="s">
        <v>62</v>
      </c>
    </row>
    <row r="53" spans="1:5" ht="15">
      <c r="A53" s="15" t="s">
        <v>63</v>
      </c>
      <c r="B53" s="15" t="s">
        <v>64</v>
      </c>
      <c r="C53" s="15" t="s">
        <v>65</v>
      </c>
      <c r="D53" s="15" t="s">
        <v>66</v>
      </c>
      <c r="E53" s="15" t="s">
        <v>67</v>
      </c>
    </row>
    <row r="54" spans="1:5" ht="12.75">
      <c r="A54" s="12" t="s">
        <v>156</v>
      </c>
      <c r="B54" s="5" t="s">
        <v>62</v>
      </c>
      <c r="C54" s="5" t="s">
        <v>114</v>
      </c>
      <c r="D54" s="5" t="s">
        <v>259</v>
      </c>
      <c r="E54" s="16" t="s">
        <v>260</v>
      </c>
    </row>
    <row r="55" spans="1:5" ht="12.75">
      <c r="A55" s="12" t="s">
        <v>146</v>
      </c>
      <c r="B55" s="5" t="s">
        <v>62</v>
      </c>
      <c r="C55" s="5" t="s">
        <v>251</v>
      </c>
      <c r="D55" s="5" t="s">
        <v>261</v>
      </c>
      <c r="E55" s="16" t="s">
        <v>262</v>
      </c>
    </row>
    <row r="56" spans="1:5" ht="12.75">
      <c r="A56" s="12" t="s">
        <v>173</v>
      </c>
      <c r="B56" s="5" t="s">
        <v>62</v>
      </c>
      <c r="C56" s="5" t="s">
        <v>115</v>
      </c>
      <c r="D56" s="5" t="s">
        <v>263</v>
      </c>
      <c r="E56" s="16" t="s">
        <v>264</v>
      </c>
    </row>
    <row r="57" spans="1:5" ht="12.75">
      <c r="A57" s="12" t="s">
        <v>181</v>
      </c>
      <c r="B57" s="5" t="s">
        <v>62</v>
      </c>
      <c r="C57" s="5" t="s">
        <v>265</v>
      </c>
      <c r="D57" s="5" t="s">
        <v>266</v>
      </c>
      <c r="E57" s="16" t="s">
        <v>267</v>
      </c>
    </row>
    <row r="59" spans="1:2" ht="14.25">
      <c r="A59" s="13"/>
      <c r="B59" s="14" t="s">
        <v>268</v>
      </c>
    </row>
    <row r="60" spans="1:5" ht="15">
      <c r="A60" s="15" t="s">
        <v>63</v>
      </c>
      <c r="B60" s="15" t="s">
        <v>64</v>
      </c>
      <c r="C60" s="15" t="s">
        <v>65</v>
      </c>
      <c r="D60" s="15" t="s">
        <v>66</v>
      </c>
      <c r="E60" s="15" t="s">
        <v>67</v>
      </c>
    </row>
    <row r="61" spans="1:5" ht="12.75">
      <c r="A61" s="12" t="s">
        <v>122</v>
      </c>
      <c r="B61" s="5" t="s">
        <v>269</v>
      </c>
      <c r="C61" s="5" t="s">
        <v>248</v>
      </c>
      <c r="D61" s="5" t="s">
        <v>270</v>
      </c>
      <c r="E61" s="16" t="s">
        <v>271</v>
      </c>
    </row>
    <row r="62" spans="1:5" ht="12.75">
      <c r="A62" s="12" t="s">
        <v>173</v>
      </c>
      <c r="B62" s="5" t="s">
        <v>269</v>
      </c>
      <c r="C62" s="5" t="s">
        <v>115</v>
      </c>
      <c r="D62" s="5" t="s">
        <v>263</v>
      </c>
      <c r="E62" s="16" t="s">
        <v>272</v>
      </c>
    </row>
    <row r="63" spans="1:5" ht="12.75">
      <c r="A63" s="12" t="s">
        <v>166</v>
      </c>
      <c r="B63" s="5" t="s">
        <v>269</v>
      </c>
      <c r="C63" s="5" t="s">
        <v>114</v>
      </c>
      <c r="D63" s="5" t="s">
        <v>270</v>
      </c>
      <c r="E63" s="16" t="s">
        <v>273</v>
      </c>
    </row>
    <row r="66" spans="1:2" ht="15">
      <c r="A66" s="11" t="s">
        <v>61</v>
      </c>
      <c r="B66" s="11"/>
    </row>
    <row r="67" spans="1:2" ht="14.25">
      <c r="A67" s="13"/>
      <c r="B67" s="14" t="s">
        <v>274</v>
      </c>
    </row>
    <row r="68" spans="1:5" ht="15">
      <c r="A68" s="15" t="s">
        <v>63</v>
      </c>
      <c r="B68" s="15" t="s">
        <v>64</v>
      </c>
      <c r="C68" s="15" t="s">
        <v>65</v>
      </c>
      <c r="D68" s="15" t="s">
        <v>66</v>
      </c>
      <c r="E68" s="15" t="s">
        <v>67</v>
      </c>
    </row>
    <row r="69" spans="1:5" ht="12.75">
      <c r="A69" s="12" t="s">
        <v>225</v>
      </c>
      <c r="B69" s="5" t="s">
        <v>275</v>
      </c>
      <c r="C69" s="5" t="s">
        <v>74</v>
      </c>
      <c r="D69" s="5" t="s">
        <v>276</v>
      </c>
      <c r="E69" s="16" t="s">
        <v>277</v>
      </c>
    </row>
    <row r="70" spans="1:5" ht="12.75">
      <c r="A70" s="12" t="s">
        <v>207</v>
      </c>
      <c r="B70" s="5" t="s">
        <v>247</v>
      </c>
      <c r="C70" s="5" t="s">
        <v>265</v>
      </c>
      <c r="D70" s="5" t="s">
        <v>278</v>
      </c>
      <c r="E70" s="16" t="s">
        <v>279</v>
      </c>
    </row>
    <row r="71" spans="1:5" ht="12.75">
      <c r="A71" s="12" t="s">
        <v>238</v>
      </c>
      <c r="B71" s="5" t="s">
        <v>275</v>
      </c>
      <c r="C71" s="5" t="s">
        <v>68</v>
      </c>
      <c r="D71" s="5" t="s">
        <v>280</v>
      </c>
      <c r="E71" s="16" t="s">
        <v>281</v>
      </c>
    </row>
    <row r="72" spans="1:5" ht="12.75">
      <c r="A72" s="12" t="s">
        <v>189</v>
      </c>
      <c r="B72" s="5" t="s">
        <v>275</v>
      </c>
      <c r="C72" s="5" t="s">
        <v>141</v>
      </c>
      <c r="D72" s="5" t="s">
        <v>282</v>
      </c>
      <c r="E72" s="16" t="s">
        <v>283</v>
      </c>
    </row>
    <row r="74" spans="1:2" ht="14.25">
      <c r="A74" s="13"/>
      <c r="B74" s="14" t="s">
        <v>62</v>
      </c>
    </row>
    <row r="75" spans="1:5" ht="15">
      <c r="A75" s="15" t="s">
        <v>63</v>
      </c>
      <c r="B75" s="15" t="s">
        <v>64</v>
      </c>
      <c r="C75" s="15" t="s">
        <v>65</v>
      </c>
      <c r="D75" s="15" t="s">
        <v>66</v>
      </c>
      <c r="E75" s="15" t="s">
        <v>67</v>
      </c>
    </row>
    <row r="76" spans="1:5" ht="12.75">
      <c r="A76" s="12" t="s">
        <v>197</v>
      </c>
      <c r="B76" s="5" t="s">
        <v>62</v>
      </c>
      <c r="C76" s="5" t="s">
        <v>141</v>
      </c>
      <c r="D76" s="5" t="s">
        <v>284</v>
      </c>
      <c r="E76" s="16" t="s">
        <v>285</v>
      </c>
    </row>
    <row r="77" spans="1:5" ht="12.75">
      <c r="A77" s="12" t="s">
        <v>215</v>
      </c>
      <c r="B77" s="5" t="s">
        <v>62</v>
      </c>
      <c r="C77" s="5" t="s">
        <v>265</v>
      </c>
      <c r="D77" s="5" t="s">
        <v>286</v>
      </c>
      <c r="E77" s="16" t="s">
        <v>287</v>
      </c>
    </row>
    <row r="78" spans="1:5" ht="12.75">
      <c r="A78" s="12" t="s">
        <v>232</v>
      </c>
      <c r="B78" s="5" t="s">
        <v>62</v>
      </c>
      <c r="C78" s="5" t="s">
        <v>74</v>
      </c>
      <c r="D78" s="5" t="s">
        <v>288</v>
      </c>
      <c r="E78" s="16" t="s">
        <v>289</v>
      </c>
    </row>
  </sheetData>
  <sheetProtection/>
  <mergeCells count="20">
    <mergeCell ref="A1:U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39:T39"/>
    <mergeCell ref="A24:T24"/>
    <mergeCell ref="A27:T27"/>
    <mergeCell ref="A31:T31"/>
    <mergeCell ref="A35:T35"/>
    <mergeCell ref="A5:T5"/>
    <mergeCell ref="A8:T8"/>
    <mergeCell ref="A12:T12"/>
    <mergeCell ref="A16:T16"/>
    <mergeCell ref="A20:T2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9.00390625" style="5" bestFit="1" customWidth="1"/>
    <col min="7" max="9" width="6.625" style="4" bestFit="1" customWidth="1"/>
    <col min="10" max="10" width="4.875" style="4" bestFit="1" customWidth="1"/>
    <col min="11" max="11" width="7.875" style="5" bestFit="1" customWidth="1"/>
    <col min="12" max="12" width="7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40" t="s">
        <v>380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2</v>
      </c>
      <c r="H3" s="34"/>
      <c r="I3" s="34"/>
      <c r="J3" s="34"/>
      <c r="K3" s="34" t="s">
        <v>295</v>
      </c>
      <c r="L3" s="34" t="s">
        <v>6</v>
      </c>
      <c r="M3" s="36" t="s">
        <v>5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5"/>
      <c r="M4" s="37"/>
    </row>
    <row r="5" spans="1:12" ht="15">
      <c r="A5" s="38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2.75">
      <c r="A6" s="8" t="s">
        <v>382</v>
      </c>
      <c r="B6" s="8" t="s">
        <v>383</v>
      </c>
      <c r="C6" s="8" t="s">
        <v>384</v>
      </c>
      <c r="D6" s="8" t="str">
        <f>"0,5943"</f>
        <v>0,5943</v>
      </c>
      <c r="E6" s="8" t="s">
        <v>25</v>
      </c>
      <c r="F6" s="8" t="s">
        <v>385</v>
      </c>
      <c r="G6" s="9" t="s">
        <v>165</v>
      </c>
      <c r="H6" s="9" t="s">
        <v>312</v>
      </c>
      <c r="I6" s="9" t="s">
        <v>313</v>
      </c>
      <c r="J6" s="10"/>
      <c r="K6" s="8" t="str">
        <f>"147,5"</f>
        <v>147,5</v>
      </c>
      <c r="L6" s="9" t="str">
        <f>"87,6592"</f>
        <v>87,6592</v>
      </c>
      <c r="M6" s="8" t="s">
        <v>49</v>
      </c>
    </row>
    <row r="8" spans="1:12" ht="15">
      <c r="A8" s="49" t="s">
        <v>37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8" t="s">
        <v>387</v>
      </c>
      <c r="B9" s="8" t="s">
        <v>388</v>
      </c>
      <c r="C9" s="8" t="s">
        <v>351</v>
      </c>
      <c r="D9" s="8" t="str">
        <f>"0,5540"</f>
        <v>0,5540</v>
      </c>
      <c r="E9" s="8" t="s">
        <v>25</v>
      </c>
      <c r="F9" s="8" t="s">
        <v>389</v>
      </c>
      <c r="G9" s="9" t="s">
        <v>30</v>
      </c>
      <c r="H9" s="9" t="s">
        <v>229</v>
      </c>
      <c r="I9" s="9" t="s">
        <v>31</v>
      </c>
      <c r="J9" s="10"/>
      <c r="K9" s="8" t="str">
        <f>"150,0"</f>
        <v>150,0</v>
      </c>
      <c r="L9" s="9" t="str">
        <f>"83,1000"</f>
        <v>83,1000</v>
      </c>
      <c r="M9" s="8" t="s">
        <v>49</v>
      </c>
    </row>
    <row r="11" ht="15">
      <c r="E11" s="6" t="s">
        <v>12</v>
      </c>
    </row>
    <row r="12" ht="15">
      <c r="E12" s="6" t="s">
        <v>13</v>
      </c>
    </row>
    <row r="13" ht="15">
      <c r="E13" s="6" t="s">
        <v>14</v>
      </c>
    </row>
    <row r="14" ht="15">
      <c r="E14" s="6" t="s">
        <v>15</v>
      </c>
    </row>
    <row r="15" ht="15">
      <c r="E15" s="6" t="s">
        <v>15</v>
      </c>
    </row>
    <row r="16" ht="15">
      <c r="E16" s="6" t="s">
        <v>16</v>
      </c>
    </row>
    <row r="17" ht="15">
      <c r="E17" s="6"/>
    </row>
    <row r="19" spans="1:2" ht="18">
      <c r="A19" s="7" t="s">
        <v>17</v>
      </c>
      <c r="B19" s="7"/>
    </row>
    <row r="20" spans="1:2" ht="15">
      <c r="A20" s="11" t="s">
        <v>61</v>
      </c>
      <c r="B20" s="11"/>
    </row>
    <row r="21" spans="1:2" ht="14.25">
      <c r="A21" s="13"/>
      <c r="B21" s="14" t="s">
        <v>62</v>
      </c>
    </row>
    <row r="22" spans="1:5" ht="15">
      <c r="A22" s="15" t="s">
        <v>63</v>
      </c>
      <c r="B22" s="15" t="s">
        <v>64</v>
      </c>
      <c r="C22" s="15" t="s">
        <v>65</v>
      </c>
      <c r="D22" s="15" t="s">
        <v>66</v>
      </c>
      <c r="E22" s="15" t="s">
        <v>67</v>
      </c>
    </row>
    <row r="23" spans="1:5" ht="12.75">
      <c r="A23" s="12" t="s">
        <v>381</v>
      </c>
      <c r="B23" s="5" t="s">
        <v>62</v>
      </c>
      <c r="C23" s="5" t="s">
        <v>71</v>
      </c>
      <c r="D23" s="5" t="s">
        <v>370</v>
      </c>
      <c r="E23" s="16" t="s">
        <v>390</v>
      </c>
    </row>
    <row r="24" spans="1:5" ht="12.75">
      <c r="A24" s="12" t="s">
        <v>386</v>
      </c>
      <c r="B24" s="5" t="s">
        <v>62</v>
      </c>
      <c r="C24" s="5" t="s">
        <v>74</v>
      </c>
      <c r="D24" s="5" t="s">
        <v>213</v>
      </c>
      <c r="E24" s="16" t="s">
        <v>391</v>
      </c>
    </row>
  </sheetData>
  <sheetProtection/>
  <mergeCells count="13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33.625" style="5" bestFit="1" customWidth="1"/>
    <col min="7" max="9" width="6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40" t="s">
        <v>296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2</v>
      </c>
      <c r="H3" s="34"/>
      <c r="I3" s="34"/>
      <c r="J3" s="34"/>
      <c r="K3" s="34" t="s">
        <v>295</v>
      </c>
      <c r="L3" s="34" t="s">
        <v>6</v>
      </c>
      <c r="M3" s="36" t="s">
        <v>5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5"/>
      <c r="M4" s="37"/>
    </row>
    <row r="5" spans="1:12" ht="15">
      <c r="A5" s="38" t="s">
        <v>155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2.75">
      <c r="A6" s="8" t="s">
        <v>298</v>
      </c>
      <c r="B6" s="8" t="s">
        <v>299</v>
      </c>
      <c r="C6" s="8" t="s">
        <v>300</v>
      </c>
      <c r="D6" s="8" t="str">
        <f>"0,8731"</f>
        <v>0,8731</v>
      </c>
      <c r="E6" s="8" t="s">
        <v>25</v>
      </c>
      <c r="F6" s="8" t="s">
        <v>301</v>
      </c>
      <c r="G6" s="9" t="s">
        <v>103</v>
      </c>
      <c r="H6" s="9" t="s">
        <v>302</v>
      </c>
      <c r="I6" s="10"/>
      <c r="J6" s="10"/>
      <c r="K6" s="8" t="str">
        <f>"52,5"</f>
        <v>52,5</v>
      </c>
      <c r="L6" s="9" t="str">
        <f>"51,2037"</f>
        <v>51,2037</v>
      </c>
      <c r="M6" s="8" t="s">
        <v>49</v>
      </c>
    </row>
    <row r="8" spans="1:12" ht="15">
      <c r="A8" s="49" t="s">
        <v>188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8" t="s">
        <v>304</v>
      </c>
      <c r="B9" s="8" t="s">
        <v>305</v>
      </c>
      <c r="C9" s="8" t="s">
        <v>306</v>
      </c>
      <c r="D9" s="8" t="str">
        <f>"0,6867"</f>
        <v>0,6867</v>
      </c>
      <c r="E9" s="8" t="s">
        <v>25</v>
      </c>
      <c r="F9" s="8" t="s">
        <v>307</v>
      </c>
      <c r="G9" s="9" t="s">
        <v>68</v>
      </c>
      <c r="H9" s="9" t="s">
        <v>165</v>
      </c>
      <c r="I9" s="9" t="s">
        <v>229</v>
      </c>
      <c r="J9" s="10"/>
      <c r="K9" s="8" t="str">
        <f>"145,0"</f>
        <v>145,0</v>
      </c>
      <c r="L9" s="9" t="str">
        <f>"107,5372"</f>
        <v>107,5372</v>
      </c>
      <c r="M9" s="8" t="s">
        <v>49</v>
      </c>
    </row>
    <row r="11" spans="1:12" ht="15">
      <c r="A11" s="49" t="s">
        <v>180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17" t="s">
        <v>309</v>
      </c>
      <c r="B12" s="17" t="s">
        <v>310</v>
      </c>
      <c r="C12" s="17" t="s">
        <v>311</v>
      </c>
      <c r="D12" s="17" t="str">
        <f>"0,6479"</f>
        <v>0,6479</v>
      </c>
      <c r="E12" s="17" t="s">
        <v>25</v>
      </c>
      <c r="F12" s="17" t="s">
        <v>307</v>
      </c>
      <c r="G12" s="18" t="s">
        <v>312</v>
      </c>
      <c r="H12" s="18" t="s">
        <v>313</v>
      </c>
      <c r="I12" s="18" t="s">
        <v>214</v>
      </c>
      <c r="J12" s="19"/>
      <c r="K12" s="17" t="str">
        <f>"155,0"</f>
        <v>155,0</v>
      </c>
      <c r="L12" s="18" t="str">
        <f>"100,4245"</f>
        <v>100,4245</v>
      </c>
      <c r="M12" s="17" t="s">
        <v>49</v>
      </c>
    </row>
    <row r="13" spans="1:13" ht="12.75">
      <c r="A13" s="23" t="s">
        <v>315</v>
      </c>
      <c r="B13" s="23" t="s">
        <v>316</v>
      </c>
      <c r="C13" s="23" t="s">
        <v>317</v>
      </c>
      <c r="D13" s="23" t="str">
        <f>"0,6448"</f>
        <v>0,6448</v>
      </c>
      <c r="E13" s="23" t="s">
        <v>25</v>
      </c>
      <c r="F13" s="23" t="s">
        <v>42</v>
      </c>
      <c r="G13" s="25" t="s">
        <v>30</v>
      </c>
      <c r="H13" s="25" t="s">
        <v>313</v>
      </c>
      <c r="I13" s="24" t="s">
        <v>318</v>
      </c>
      <c r="J13" s="24"/>
      <c r="K13" s="23" t="str">
        <f>"147,5"</f>
        <v>147,5</v>
      </c>
      <c r="L13" s="25" t="str">
        <f>"95,1080"</f>
        <v>95,1080</v>
      </c>
      <c r="M13" s="23" t="s">
        <v>49</v>
      </c>
    </row>
    <row r="14" spans="1:13" ht="12.75">
      <c r="A14" s="20" t="s">
        <v>320</v>
      </c>
      <c r="B14" s="20" t="s">
        <v>321</v>
      </c>
      <c r="C14" s="20" t="s">
        <v>322</v>
      </c>
      <c r="D14" s="20" t="str">
        <f>"0,6193"</f>
        <v>0,6193</v>
      </c>
      <c r="E14" s="20" t="s">
        <v>25</v>
      </c>
      <c r="F14" s="20" t="s">
        <v>323</v>
      </c>
      <c r="G14" s="21" t="s">
        <v>324</v>
      </c>
      <c r="H14" s="21" t="s">
        <v>165</v>
      </c>
      <c r="I14" s="21" t="s">
        <v>312</v>
      </c>
      <c r="J14" s="22"/>
      <c r="K14" s="20" t="str">
        <f>"142,5"</f>
        <v>142,5</v>
      </c>
      <c r="L14" s="21" t="str">
        <f>"117,3728"</f>
        <v>117,3728</v>
      </c>
      <c r="M14" s="20" t="s">
        <v>49</v>
      </c>
    </row>
    <row r="16" spans="1:12" ht="15">
      <c r="A16" s="49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3" ht="12.75">
      <c r="A17" s="17" t="s">
        <v>326</v>
      </c>
      <c r="B17" s="17" t="s">
        <v>327</v>
      </c>
      <c r="C17" s="17" t="s">
        <v>328</v>
      </c>
      <c r="D17" s="17" t="str">
        <f>"0,5873"</f>
        <v>0,5873</v>
      </c>
      <c r="E17" s="17" t="s">
        <v>25</v>
      </c>
      <c r="F17" s="17" t="s">
        <v>329</v>
      </c>
      <c r="G17" s="18" t="s">
        <v>31</v>
      </c>
      <c r="H17" s="18" t="s">
        <v>236</v>
      </c>
      <c r="I17" s="19" t="s">
        <v>330</v>
      </c>
      <c r="J17" s="19"/>
      <c r="K17" s="17" t="str">
        <f>"160,0"</f>
        <v>160,0</v>
      </c>
      <c r="L17" s="18" t="str">
        <f>"94,9077"</f>
        <v>94,9077</v>
      </c>
      <c r="M17" s="17" t="s">
        <v>49</v>
      </c>
    </row>
    <row r="18" spans="1:13" ht="12.75">
      <c r="A18" s="23" t="s">
        <v>332</v>
      </c>
      <c r="B18" s="23" t="s">
        <v>333</v>
      </c>
      <c r="C18" s="23" t="s">
        <v>334</v>
      </c>
      <c r="D18" s="23" t="str">
        <f>"0,5865"</f>
        <v>0,5865</v>
      </c>
      <c r="E18" s="23" t="s">
        <v>25</v>
      </c>
      <c r="F18" s="23" t="s">
        <v>26</v>
      </c>
      <c r="G18" s="25" t="s">
        <v>237</v>
      </c>
      <c r="H18" s="24" t="s">
        <v>335</v>
      </c>
      <c r="I18" s="24" t="s">
        <v>220</v>
      </c>
      <c r="J18" s="24"/>
      <c r="K18" s="23" t="str">
        <f>"172,5"</f>
        <v>172,5</v>
      </c>
      <c r="L18" s="25" t="str">
        <f>"101,1712"</f>
        <v>101,1712</v>
      </c>
      <c r="M18" s="23" t="s">
        <v>49</v>
      </c>
    </row>
    <row r="19" spans="1:13" ht="12.75">
      <c r="A19" s="20" t="s">
        <v>337</v>
      </c>
      <c r="B19" s="20" t="s">
        <v>338</v>
      </c>
      <c r="C19" s="20" t="s">
        <v>339</v>
      </c>
      <c r="D19" s="20" t="str">
        <f>"0,5853"</f>
        <v>0,5853</v>
      </c>
      <c r="E19" s="20" t="s">
        <v>25</v>
      </c>
      <c r="F19" s="20" t="s">
        <v>340</v>
      </c>
      <c r="G19" s="21" t="s">
        <v>341</v>
      </c>
      <c r="H19" s="21" t="s">
        <v>324</v>
      </c>
      <c r="I19" s="22" t="s">
        <v>342</v>
      </c>
      <c r="J19" s="22"/>
      <c r="K19" s="20" t="str">
        <f>"127,5"</f>
        <v>127,5</v>
      </c>
      <c r="L19" s="21" t="str">
        <f>"139,1770"</f>
        <v>139,1770</v>
      </c>
      <c r="M19" s="20" t="s">
        <v>49</v>
      </c>
    </row>
    <row r="21" spans="1:12" ht="15">
      <c r="A21" s="49" t="s">
        <v>37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3" ht="12.75">
      <c r="A22" s="17" t="s">
        <v>344</v>
      </c>
      <c r="B22" s="17" t="s">
        <v>345</v>
      </c>
      <c r="C22" s="17" t="s">
        <v>346</v>
      </c>
      <c r="D22" s="17" t="str">
        <f>"0,5543"</f>
        <v>0,5543</v>
      </c>
      <c r="E22" s="17" t="s">
        <v>25</v>
      </c>
      <c r="F22" s="17" t="s">
        <v>347</v>
      </c>
      <c r="G22" s="18" t="s">
        <v>236</v>
      </c>
      <c r="H22" s="18" t="s">
        <v>58</v>
      </c>
      <c r="I22" s="18" t="s">
        <v>43</v>
      </c>
      <c r="J22" s="19"/>
      <c r="K22" s="17" t="str">
        <f>"180,0"</f>
        <v>180,0</v>
      </c>
      <c r="L22" s="18" t="str">
        <f>"99,7740"</f>
        <v>99,7740</v>
      </c>
      <c r="M22" s="17" t="s">
        <v>49</v>
      </c>
    </row>
    <row r="23" spans="1:13" ht="12.75">
      <c r="A23" s="23" t="s">
        <v>349</v>
      </c>
      <c r="B23" s="23" t="s">
        <v>350</v>
      </c>
      <c r="C23" s="23" t="s">
        <v>351</v>
      </c>
      <c r="D23" s="23" t="str">
        <f>"0,5540"</f>
        <v>0,5540</v>
      </c>
      <c r="E23" s="23" t="s">
        <v>25</v>
      </c>
      <c r="F23" s="23" t="s">
        <v>26</v>
      </c>
      <c r="G23" s="24" t="s">
        <v>352</v>
      </c>
      <c r="H23" s="25" t="s">
        <v>214</v>
      </c>
      <c r="I23" s="24" t="s">
        <v>353</v>
      </c>
      <c r="J23" s="24"/>
      <c r="K23" s="23" t="str">
        <f>"155,0"</f>
        <v>155,0</v>
      </c>
      <c r="L23" s="25" t="str">
        <f>"85,8700"</f>
        <v>85,8700</v>
      </c>
      <c r="M23" s="23" t="s">
        <v>49</v>
      </c>
    </row>
    <row r="24" spans="1:13" ht="12.75">
      <c r="A24" s="20" t="s">
        <v>355</v>
      </c>
      <c r="B24" s="20" t="s">
        <v>356</v>
      </c>
      <c r="C24" s="20" t="s">
        <v>357</v>
      </c>
      <c r="D24" s="20" t="str">
        <f>"0,5565"</f>
        <v>0,5565</v>
      </c>
      <c r="E24" s="20" t="s">
        <v>25</v>
      </c>
      <c r="F24" s="20" t="s">
        <v>26</v>
      </c>
      <c r="G24" s="21" t="s">
        <v>31</v>
      </c>
      <c r="H24" s="21" t="s">
        <v>214</v>
      </c>
      <c r="I24" s="22" t="s">
        <v>358</v>
      </c>
      <c r="J24" s="22"/>
      <c r="K24" s="20" t="str">
        <f>"155,0"</f>
        <v>155,0</v>
      </c>
      <c r="L24" s="21" t="str">
        <f>"92,2093"</f>
        <v>92,2093</v>
      </c>
      <c r="M24" s="20" t="s">
        <v>49</v>
      </c>
    </row>
    <row r="26" ht="15">
      <c r="E26" s="6" t="s">
        <v>12</v>
      </c>
    </row>
    <row r="27" ht="15">
      <c r="E27" s="6" t="s">
        <v>13</v>
      </c>
    </row>
    <row r="28" ht="15">
      <c r="E28" s="6" t="s">
        <v>14</v>
      </c>
    </row>
    <row r="29" ht="15">
      <c r="E29" s="6" t="s">
        <v>15</v>
      </c>
    </row>
    <row r="30" ht="15">
      <c r="E30" s="6" t="s">
        <v>15</v>
      </c>
    </row>
    <row r="31" ht="15">
      <c r="E31" s="6" t="s">
        <v>16</v>
      </c>
    </row>
    <row r="32" ht="15">
      <c r="E32" s="6"/>
    </row>
    <row r="34" spans="1:2" ht="18">
      <c r="A34" s="7" t="s">
        <v>17</v>
      </c>
      <c r="B34" s="7"/>
    </row>
    <row r="35" spans="1:2" ht="15">
      <c r="A35" s="11" t="s">
        <v>245</v>
      </c>
      <c r="B35" s="11"/>
    </row>
    <row r="36" spans="1:2" ht="14.25">
      <c r="A36" s="13"/>
      <c r="B36" s="14" t="s">
        <v>268</v>
      </c>
    </row>
    <row r="37" spans="1:5" ht="15">
      <c r="A37" s="15" t="s">
        <v>63</v>
      </c>
      <c r="B37" s="15" t="s">
        <v>64</v>
      </c>
      <c r="C37" s="15" t="s">
        <v>65</v>
      </c>
      <c r="D37" s="15" t="s">
        <v>66</v>
      </c>
      <c r="E37" s="15" t="s">
        <v>67</v>
      </c>
    </row>
    <row r="38" spans="1:5" ht="12.75">
      <c r="A38" s="12" t="s">
        <v>297</v>
      </c>
      <c r="B38" s="5" t="s">
        <v>359</v>
      </c>
      <c r="C38" s="5" t="s">
        <v>114</v>
      </c>
      <c r="D38" s="5" t="s">
        <v>360</v>
      </c>
      <c r="E38" s="16" t="s">
        <v>361</v>
      </c>
    </row>
    <row r="41" spans="1:2" ht="15">
      <c r="A41" s="11" t="s">
        <v>61</v>
      </c>
      <c r="B41" s="11"/>
    </row>
    <row r="42" spans="1:2" ht="14.25">
      <c r="A42" s="13"/>
      <c r="B42" s="14" t="s">
        <v>274</v>
      </c>
    </row>
    <row r="43" spans="1:5" ht="15">
      <c r="A43" s="15" t="s">
        <v>63</v>
      </c>
      <c r="B43" s="15" t="s">
        <v>64</v>
      </c>
      <c r="C43" s="15" t="s">
        <v>65</v>
      </c>
      <c r="D43" s="15" t="s">
        <v>66</v>
      </c>
      <c r="E43" s="15" t="s">
        <v>67</v>
      </c>
    </row>
    <row r="44" spans="1:5" ht="12.75">
      <c r="A44" s="12" t="s">
        <v>303</v>
      </c>
      <c r="B44" s="5" t="s">
        <v>275</v>
      </c>
      <c r="C44" s="5" t="s">
        <v>141</v>
      </c>
      <c r="D44" s="5" t="s">
        <v>352</v>
      </c>
      <c r="E44" s="16" t="s">
        <v>362</v>
      </c>
    </row>
    <row r="46" spans="1:2" ht="14.25">
      <c r="A46" s="13"/>
      <c r="B46" s="14" t="s">
        <v>363</v>
      </c>
    </row>
    <row r="47" spans="1:5" ht="15">
      <c r="A47" s="15" t="s">
        <v>63</v>
      </c>
      <c r="B47" s="15" t="s">
        <v>64</v>
      </c>
      <c r="C47" s="15" t="s">
        <v>65</v>
      </c>
      <c r="D47" s="15" t="s">
        <v>66</v>
      </c>
      <c r="E47" s="15" t="s">
        <v>67</v>
      </c>
    </row>
    <row r="48" spans="1:5" ht="12.75">
      <c r="A48" s="12" t="s">
        <v>308</v>
      </c>
      <c r="B48" s="5" t="s">
        <v>255</v>
      </c>
      <c r="C48" s="5" t="s">
        <v>265</v>
      </c>
      <c r="D48" s="5" t="s">
        <v>364</v>
      </c>
      <c r="E48" s="16" t="s">
        <v>365</v>
      </c>
    </row>
    <row r="49" spans="1:5" ht="12.75">
      <c r="A49" s="12" t="s">
        <v>325</v>
      </c>
      <c r="B49" s="5" t="s">
        <v>255</v>
      </c>
      <c r="C49" s="5" t="s">
        <v>71</v>
      </c>
      <c r="D49" s="5" t="s">
        <v>32</v>
      </c>
      <c r="E49" s="16" t="s">
        <v>366</v>
      </c>
    </row>
    <row r="51" spans="1:2" ht="14.25">
      <c r="A51" s="13"/>
      <c r="B51" s="14" t="s">
        <v>62</v>
      </c>
    </row>
    <row r="52" spans="1:5" ht="15">
      <c r="A52" s="15" t="s">
        <v>63</v>
      </c>
      <c r="B52" s="15" t="s">
        <v>64</v>
      </c>
      <c r="C52" s="15" t="s">
        <v>65</v>
      </c>
      <c r="D52" s="15" t="s">
        <v>66</v>
      </c>
      <c r="E52" s="15" t="s">
        <v>67</v>
      </c>
    </row>
    <row r="53" spans="1:5" ht="12.75">
      <c r="A53" s="12" t="s">
        <v>331</v>
      </c>
      <c r="B53" s="5" t="s">
        <v>62</v>
      </c>
      <c r="C53" s="5" t="s">
        <v>71</v>
      </c>
      <c r="D53" s="5" t="s">
        <v>367</v>
      </c>
      <c r="E53" s="16" t="s">
        <v>368</v>
      </c>
    </row>
    <row r="54" spans="1:5" ht="12.75">
      <c r="A54" s="12" t="s">
        <v>343</v>
      </c>
      <c r="B54" s="5" t="s">
        <v>62</v>
      </c>
      <c r="C54" s="5" t="s">
        <v>74</v>
      </c>
      <c r="D54" s="5" t="s">
        <v>27</v>
      </c>
      <c r="E54" s="16" t="s">
        <v>369</v>
      </c>
    </row>
    <row r="55" spans="1:5" ht="12.75">
      <c r="A55" s="12" t="s">
        <v>314</v>
      </c>
      <c r="B55" s="5" t="s">
        <v>62</v>
      </c>
      <c r="C55" s="5" t="s">
        <v>265</v>
      </c>
      <c r="D55" s="5" t="s">
        <v>370</v>
      </c>
      <c r="E55" s="16" t="s">
        <v>371</v>
      </c>
    </row>
    <row r="57" spans="1:2" ht="14.25">
      <c r="A57" s="13"/>
      <c r="B57" s="14" t="s">
        <v>268</v>
      </c>
    </row>
    <row r="58" spans="1:5" ht="15">
      <c r="A58" s="15" t="s">
        <v>63</v>
      </c>
      <c r="B58" s="15" t="s">
        <v>64</v>
      </c>
      <c r="C58" s="15" t="s">
        <v>65</v>
      </c>
      <c r="D58" s="15" t="s">
        <v>66</v>
      </c>
      <c r="E58" s="15" t="s">
        <v>67</v>
      </c>
    </row>
    <row r="59" spans="1:5" ht="12.75">
      <c r="A59" s="12" t="s">
        <v>336</v>
      </c>
      <c r="B59" s="5" t="s">
        <v>372</v>
      </c>
      <c r="C59" s="5" t="s">
        <v>71</v>
      </c>
      <c r="D59" s="5" t="s">
        <v>373</v>
      </c>
      <c r="E59" s="16" t="s">
        <v>374</v>
      </c>
    </row>
    <row r="60" spans="1:5" ht="12.75">
      <c r="A60" s="12" t="s">
        <v>319</v>
      </c>
      <c r="B60" s="5" t="s">
        <v>375</v>
      </c>
      <c r="C60" s="5" t="s">
        <v>265</v>
      </c>
      <c r="D60" s="5" t="s">
        <v>376</v>
      </c>
      <c r="E60" s="16" t="s">
        <v>377</v>
      </c>
    </row>
    <row r="61" spans="1:5" ht="12.75">
      <c r="A61" s="12" t="s">
        <v>354</v>
      </c>
      <c r="B61" s="5" t="s">
        <v>359</v>
      </c>
      <c r="C61" s="5" t="s">
        <v>74</v>
      </c>
      <c r="D61" s="5" t="s">
        <v>364</v>
      </c>
      <c r="E61" s="16" t="s">
        <v>378</v>
      </c>
    </row>
    <row r="62" spans="1:5" ht="12.75">
      <c r="A62" s="12" t="s">
        <v>348</v>
      </c>
      <c r="B62" s="5" t="s">
        <v>269</v>
      </c>
      <c r="C62" s="5" t="s">
        <v>74</v>
      </c>
      <c r="D62" s="5" t="s">
        <v>364</v>
      </c>
      <c r="E62" s="16" t="s">
        <v>379</v>
      </c>
    </row>
  </sheetData>
  <sheetProtection/>
  <mergeCells count="16">
    <mergeCell ref="A8:L8"/>
    <mergeCell ref="A11:L11"/>
    <mergeCell ref="A16:L16"/>
    <mergeCell ref="A21:L21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9.75390625" style="5" bestFit="1" customWidth="1"/>
    <col min="4" max="4" width="9.25390625" style="5" bestFit="1" customWidth="1"/>
    <col min="5" max="5" width="22.75390625" style="5" bestFit="1" customWidth="1"/>
    <col min="6" max="6" width="29.75390625" style="5" bestFit="1" customWidth="1"/>
    <col min="7" max="9" width="4.625" style="4" bestFit="1" customWidth="1"/>
    <col min="10" max="10" width="4.875" style="4" bestFit="1" customWidth="1"/>
    <col min="11" max="11" width="4.625" style="4" bestFit="1" customWidth="1"/>
    <col min="12" max="13" width="2.125" style="4" bestFit="1" customWidth="1"/>
    <col min="14" max="14" width="4.875" style="4" bestFit="1" customWidth="1"/>
    <col min="15" max="15" width="4.625" style="4" bestFit="1" customWidth="1"/>
    <col min="16" max="17" width="2.125" style="4" bestFit="1" customWidth="1"/>
    <col min="18" max="18" width="4.875" style="4" bestFit="1" customWidth="1"/>
    <col min="19" max="19" width="7.875" style="5" bestFit="1" customWidth="1"/>
    <col min="20" max="20" width="6.625" style="4" bestFit="1" customWidth="1"/>
    <col min="21" max="21" width="8.875" style="5" bestFit="1" customWidth="1"/>
    <col min="22" max="16384" width="9.125" style="4" customWidth="1"/>
  </cols>
  <sheetData>
    <row r="1" spans="1:21" s="3" customFormat="1" ht="28.5" customHeight="1">
      <c r="A1" s="40" t="s">
        <v>290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1</v>
      </c>
      <c r="H3" s="34"/>
      <c r="I3" s="34"/>
      <c r="J3" s="34"/>
      <c r="K3" s="34" t="s">
        <v>2</v>
      </c>
      <c r="L3" s="34"/>
      <c r="M3" s="34"/>
      <c r="N3" s="34"/>
      <c r="O3" s="34" t="s">
        <v>3</v>
      </c>
      <c r="P3" s="34"/>
      <c r="Q3" s="34"/>
      <c r="R3" s="34"/>
      <c r="S3" s="34" t="s">
        <v>4</v>
      </c>
      <c r="T3" s="34" t="s">
        <v>6</v>
      </c>
      <c r="U3" s="36" t="s">
        <v>5</v>
      </c>
    </row>
    <row r="4" spans="1:21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5"/>
      <c r="T4" s="35"/>
      <c r="U4" s="37"/>
    </row>
    <row r="5" spans="1:20" ht="15">
      <c r="A5" s="38" t="s">
        <v>172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 ht="12.75">
      <c r="A6" s="8" t="s">
        <v>291</v>
      </c>
      <c r="B6" s="8" t="s">
        <v>292</v>
      </c>
      <c r="C6" s="8" t="s">
        <v>293</v>
      </c>
      <c r="D6" s="8" t="str">
        <f>"0,7923"</f>
        <v>0,7923</v>
      </c>
      <c r="E6" s="8" t="s">
        <v>25</v>
      </c>
      <c r="F6" s="8" t="s">
        <v>26</v>
      </c>
      <c r="G6" s="10" t="s">
        <v>71</v>
      </c>
      <c r="H6" s="10" t="s">
        <v>71</v>
      </c>
      <c r="I6" s="10" t="s">
        <v>71</v>
      </c>
      <c r="J6" s="10"/>
      <c r="K6" s="10" t="s">
        <v>294</v>
      </c>
      <c r="L6" s="10"/>
      <c r="M6" s="10"/>
      <c r="N6" s="10"/>
      <c r="O6" s="10" t="s">
        <v>151</v>
      </c>
      <c r="P6" s="10"/>
      <c r="Q6" s="10"/>
      <c r="R6" s="10"/>
      <c r="S6" s="8" t="str">
        <f>"0.00"</f>
        <v>0.00</v>
      </c>
      <c r="T6" s="9" t="str">
        <f>"0,0000"</f>
        <v>0,0000</v>
      </c>
      <c r="U6" s="8" t="s">
        <v>49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</sheetData>
  <sheetProtection/>
  <mergeCells count="14"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">
      <selection activeCell="A1" sqref="A1:U5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38.125" style="5" bestFit="1" customWidth="1"/>
    <col min="7" max="9" width="6.625" style="4" bestFit="1" customWidth="1"/>
    <col min="10" max="10" width="4.875" style="4" bestFit="1" customWidth="1"/>
    <col min="11" max="13" width="6.625" style="4" bestFit="1" customWidth="1"/>
    <col min="14" max="14" width="4.875" style="4" bestFit="1" customWidth="1"/>
    <col min="15" max="17" width="6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2.125" style="5" bestFit="1" customWidth="1"/>
    <col min="22" max="16384" width="9.125" style="4" customWidth="1"/>
  </cols>
  <sheetData>
    <row r="1" spans="1:21" s="3" customFormat="1" ht="28.5" customHeight="1">
      <c r="A1" s="40" t="s">
        <v>93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1</v>
      </c>
      <c r="H3" s="34"/>
      <c r="I3" s="34"/>
      <c r="J3" s="34"/>
      <c r="K3" s="34" t="s">
        <v>2</v>
      </c>
      <c r="L3" s="34"/>
      <c r="M3" s="34"/>
      <c r="N3" s="34"/>
      <c r="O3" s="34" t="s">
        <v>3</v>
      </c>
      <c r="P3" s="34"/>
      <c r="Q3" s="34"/>
      <c r="R3" s="34"/>
      <c r="S3" s="34" t="s">
        <v>4</v>
      </c>
      <c r="T3" s="34" t="s">
        <v>6</v>
      </c>
      <c r="U3" s="36" t="s">
        <v>5</v>
      </c>
    </row>
    <row r="4" spans="1:21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5"/>
      <c r="T4" s="35"/>
      <c r="U4" s="37"/>
    </row>
    <row r="5" spans="1:20" ht="15">
      <c r="A5" s="38" t="s">
        <v>94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 ht="12.75">
      <c r="A6" s="8" t="s">
        <v>96</v>
      </c>
      <c r="B6" s="8" t="s">
        <v>97</v>
      </c>
      <c r="C6" s="8" t="s">
        <v>98</v>
      </c>
      <c r="D6" s="8" t="str">
        <f>"1,0379"</f>
        <v>1,0379</v>
      </c>
      <c r="E6" s="8" t="s">
        <v>25</v>
      </c>
      <c r="F6" s="8" t="s">
        <v>26</v>
      </c>
      <c r="G6" s="9" t="s">
        <v>99</v>
      </c>
      <c r="H6" s="10" t="s">
        <v>71</v>
      </c>
      <c r="I6" s="9" t="s">
        <v>100</v>
      </c>
      <c r="J6" s="10"/>
      <c r="K6" s="9" t="s">
        <v>101</v>
      </c>
      <c r="L6" s="9" t="s">
        <v>102</v>
      </c>
      <c r="M6" s="9" t="s">
        <v>103</v>
      </c>
      <c r="N6" s="10"/>
      <c r="O6" s="9" t="s">
        <v>104</v>
      </c>
      <c r="P6" s="9" t="s">
        <v>105</v>
      </c>
      <c r="Q6" s="10" t="s">
        <v>74</v>
      </c>
      <c r="R6" s="10"/>
      <c r="S6" s="8" t="str">
        <f>"232,5"</f>
        <v>232,5</v>
      </c>
      <c r="T6" s="9" t="str">
        <f>"241,3117"</f>
        <v>241,3117</v>
      </c>
      <c r="U6" s="8" t="s">
        <v>49</v>
      </c>
    </row>
    <row r="8" spans="1:20" ht="15">
      <c r="A8" s="49" t="s">
        <v>106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1" ht="12.75">
      <c r="A9" s="17" t="s">
        <v>108</v>
      </c>
      <c r="B9" s="17" t="s">
        <v>109</v>
      </c>
      <c r="C9" s="17" t="s">
        <v>110</v>
      </c>
      <c r="D9" s="17" t="str">
        <f>"0,9927"</f>
        <v>0,9927</v>
      </c>
      <c r="E9" s="17" t="s">
        <v>111</v>
      </c>
      <c r="F9" s="17" t="s">
        <v>112</v>
      </c>
      <c r="G9" s="18" t="s">
        <v>113</v>
      </c>
      <c r="H9" s="18" t="s">
        <v>114</v>
      </c>
      <c r="I9" s="18" t="s">
        <v>115</v>
      </c>
      <c r="J9" s="19"/>
      <c r="K9" s="18" t="s">
        <v>116</v>
      </c>
      <c r="L9" s="18" t="s">
        <v>117</v>
      </c>
      <c r="M9" s="19" t="s">
        <v>118</v>
      </c>
      <c r="N9" s="19"/>
      <c r="O9" s="18" t="s">
        <v>119</v>
      </c>
      <c r="P9" s="18" t="s">
        <v>120</v>
      </c>
      <c r="Q9" s="19" t="s">
        <v>71</v>
      </c>
      <c r="R9" s="19"/>
      <c r="S9" s="17" t="str">
        <f>"182,5"</f>
        <v>182,5</v>
      </c>
      <c r="T9" s="18" t="str">
        <f>"222,8363"</f>
        <v>222,8363</v>
      </c>
      <c r="U9" s="17" t="s">
        <v>121</v>
      </c>
    </row>
    <row r="10" spans="1:21" ht="12.75">
      <c r="A10" s="20" t="s">
        <v>123</v>
      </c>
      <c r="B10" s="20" t="s">
        <v>124</v>
      </c>
      <c r="C10" s="20" t="s">
        <v>125</v>
      </c>
      <c r="D10" s="20" t="str">
        <f>"0,9912"</f>
        <v>0,9912</v>
      </c>
      <c r="E10" s="20" t="s">
        <v>25</v>
      </c>
      <c r="F10" s="20" t="s">
        <v>126</v>
      </c>
      <c r="G10" s="21" t="s">
        <v>99</v>
      </c>
      <c r="H10" s="21" t="s">
        <v>127</v>
      </c>
      <c r="I10" s="21" t="s">
        <v>105</v>
      </c>
      <c r="J10" s="22"/>
      <c r="K10" s="21" t="s">
        <v>128</v>
      </c>
      <c r="L10" s="21" t="s">
        <v>129</v>
      </c>
      <c r="M10" s="22" t="s">
        <v>113</v>
      </c>
      <c r="N10" s="22"/>
      <c r="O10" s="21" t="s">
        <v>130</v>
      </c>
      <c r="P10" s="21" t="s">
        <v>131</v>
      </c>
      <c r="Q10" s="22" t="s">
        <v>132</v>
      </c>
      <c r="R10" s="22"/>
      <c r="S10" s="20" t="str">
        <f>"240,0"</f>
        <v>240,0</v>
      </c>
      <c r="T10" s="21" t="str">
        <f>"240,0169"</f>
        <v>240,0169</v>
      </c>
      <c r="U10" s="20" t="s">
        <v>49</v>
      </c>
    </row>
    <row r="12" spans="1:20" ht="15">
      <c r="A12" s="49" t="s">
        <v>133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1" ht="12.75">
      <c r="A13" s="17" t="s">
        <v>135</v>
      </c>
      <c r="B13" s="17" t="s">
        <v>136</v>
      </c>
      <c r="C13" s="17" t="s">
        <v>137</v>
      </c>
      <c r="D13" s="17" t="str">
        <f>"0,9124"</f>
        <v>0,9124</v>
      </c>
      <c r="E13" s="17" t="s">
        <v>25</v>
      </c>
      <c r="F13" s="17" t="s">
        <v>138</v>
      </c>
      <c r="G13" s="18" t="s">
        <v>139</v>
      </c>
      <c r="H13" s="18" t="s">
        <v>140</v>
      </c>
      <c r="I13" s="19" t="s">
        <v>141</v>
      </c>
      <c r="J13" s="19"/>
      <c r="K13" s="19" t="s">
        <v>142</v>
      </c>
      <c r="L13" s="18" t="s">
        <v>143</v>
      </c>
      <c r="M13" s="18" t="s">
        <v>144</v>
      </c>
      <c r="N13" s="19"/>
      <c r="O13" s="18" t="s">
        <v>99</v>
      </c>
      <c r="P13" s="18" t="s">
        <v>105</v>
      </c>
      <c r="Q13" s="19" t="s">
        <v>145</v>
      </c>
      <c r="R13" s="19"/>
      <c r="S13" s="17" t="str">
        <f>"197,5"</f>
        <v>197,5</v>
      </c>
      <c r="T13" s="18" t="str">
        <f>"191,0109"</f>
        <v>191,0109</v>
      </c>
      <c r="U13" s="17" t="s">
        <v>49</v>
      </c>
    </row>
    <row r="14" spans="1:21" ht="12.75">
      <c r="A14" s="20" t="s">
        <v>147</v>
      </c>
      <c r="B14" s="20" t="s">
        <v>148</v>
      </c>
      <c r="C14" s="20" t="s">
        <v>149</v>
      </c>
      <c r="D14" s="20" t="str">
        <f>"0,9326"</f>
        <v>0,9326</v>
      </c>
      <c r="E14" s="20" t="s">
        <v>25</v>
      </c>
      <c r="F14" s="20" t="s">
        <v>138</v>
      </c>
      <c r="G14" s="21" t="s">
        <v>150</v>
      </c>
      <c r="H14" s="21" t="s">
        <v>100</v>
      </c>
      <c r="I14" s="22" t="s">
        <v>151</v>
      </c>
      <c r="J14" s="22"/>
      <c r="K14" s="21" t="s">
        <v>103</v>
      </c>
      <c r="L14" s="22" t="s">
        <v>114</v>
      </c>
      <c r="M14" s="22" t="s">
        <v>114</v>
      </c>
      <c r="N14" s="22"/>
      <c r="O14" s="21" t="s">
        <v>152</v>
      </c>
      <c r="P14" s="21" t="s">
        <v>153</v>
      </c>
      <c r="Q14" s="22" t="s">
        <v>154</v>
      </c>
      <c r="R14" s="22"/>
      <c r="S14" s="20" t="str">
        <f>"255,0"</f>
        <v>255,0</v>
      </c>
      <c r="T14" s="21" t="str">
        <f>"237,8130"</f>
        <v>237,8130</v>
      </c>
      <c r="U14" s="20" t="s">
        <v>49</v>
      </c>
    </row>
    <row r="16" spans="1:20" ht="15">
      <c r="A16" s="49" t="s">
        <v>155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1" ht="12.75">
      <c r="A17" s="17" t="s">
        <v>157</v>
      </c>
      <c r="B17" s="17" t="s">
        <v>158</v>
      </c>
      <c r="C17" s="17" t="s">
        <v>159</v>
      </c>
      <c r="D17" s="17" t="str">
        <f>"0,8609"</f>
        <v>0,8609</v>
      </c>
      <c r="E17" s="17" t="s">
        <v>25</v>
      </c>
      <c r="F17" s="17" t="s">
        <v>26</v>
      </c>
      <c r="G17" s="18" t="s">
        <v>160</v>
      </c>
      <c r="H17" s="18" t="s">
        <v>161</v>
      </c>
      <c r="I17" s="18" t="s">
        <v>162</v>
      </c>
      <c r="J17" s="19"/>
      <c r="K17" s="18" t="s">
        <v>163</v>
      </c>
      <c r="L17" s="18" t="s">
        <v>139</v>
      </c>
      <c r="M17" s="18" t="s">
        <v>140</v>
      </c>
      <c r="N17" s="19"/>
      <c r="O17" s="18" t="s">
        <v>164</v>
      </c>
      <c r="P17" s="18" t="s">
        <v>165</v>
      </c>
      <c r="Q17" s="18" t="s">
        <v>30</v>
      </c>
      <c r="R17" s="19"/>
      <c r="S17" s="17" t="str">
        <f>"325,0"</f>
        <v>325,0</v>
      </c>
      <c r="T17" s="18" t="str">
        <f>"279,7925"</f>
        <v>279,7925</v>
      </c>
      <c r="U17" s="17" t="s">
        <v>49</v>
      </c>
    </row>
    <row r="18" spans="1:21" ht="12.75">
      <c r="A18" s="20" t="s">
        <v>167</v>
      </c>
      <c r="B18" s="20" t="s">
        <v>168</v>
      </c>
      <c r="C18" s="20" t="s">
        <v>169</v>
      </c>
      <c r="D18" s="20" t="str">
        <f>"0,8707"</f>
        <v>0,8707</v>
      </c>
      <c r="E18" s="20" t="s">
        <v>25</v>
      </c>
      <c r="F18" s="20" t="s">
        <v>170</v>
      </c>
      <c r="G18" s="21" t="s">
        <v>130</v>
      </c>
      <c r="H18" s="21" t="s">
        <v>171</v>
      </c>
      <c r="I18" s="22" t="s">
        <v>74</v>
      </c>
      <c r="J18" s="22"/>
      <c r="K18" s="21" t="s">
        <v>101</v>
      </c>
      <c r="L18" s="22" t="s">
        <v>102</v>
      </c>
      <c r="M18" s="22" t="s">
        <v>102</v>
      </c>
      <c r="N18" s="22"/>
      <c r="O18" s="21" t="s">
        <v>100</v>
      </c>
      <c r="P18" s="21" t="s">
        <v>130</v>
      </c>
      <c r="Q18" s="21" t="s">
        <v>171</v>
      </c>
      <c r="R18" s="22"/>
      <c r="S18" s="20" t="str">
        <f>"240,0"</f>
        <v>240,0</v>
      </c>
      <c r="T18" s="21" t="str">
        <f>"208,9680"</f>
        <v>208,9680</v>
      </c>
      <c r="U18" s="20" t="s">
        <v>49</v>
      </c>
    </row>
    <row r="20" spans="1:20" ht="15">
      <c r="A20" s="49" t="s">
        <v>172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1" ht="12.75">
      <c r="A21" s="17" t="s">
        <v>174</v>
      </c>
      <c r="B21" s="17" t="s">
        <v>175</v>
      </c>
      <c r="C21" s="17" t="s">
        <v>176</v>
      </c>
      <c r="D21" s="17" t="str">
        <f>"0,7842"</f>
        <v>0,7842</v>
      </c>
      <c r="E21" s="17" t="s">
        <v>25</v>
      </c>
      <c r="F21" s="17" t="s">
        <v>177</v>
      </c>
      <c r="G21" s="18" t="s">
        <v>105</v>
      </c>
      <c r="H21" s="18" t="s">
        <v>171</v>
      </c>
      <c r="I21" s="18" t="s">
        <v>160</v>
      </c>
      <c r="J21" s="19"/>
      <c r="K21" s="18" t="s">
        <v>103</v>
      </c>
      <c r="L21" s="19" t="s">
        <v>178</v>
      </c>
      <c r="M21" s="19" t="s">
        <v>178</v>
      </c>
      <c r="N21" s="19"/>
      <c r="O21" s="18" t="s">
        <v>130</v>
      </c>
      <c r="P21" s="18" t="s">
        <v>152</v>
      </c>
      <c r="Q21" s="18" t="s">
        <v>161</v>
      </c>
      <c r="R21" s="19"/>
      <c r="S21" s="17" t="str">
        <f>"260,0"</f>
        <v>260,0</v>
      </c>
      <c r="T21" s="18" t="str">
        <f>"203,8920"</f>
        <v>203,8920</v>
      </c>
      <c r="U21" s="17" t="s">
        <v>49</v>
      </c>
    </row>
    <row r="22" spans="1:21" ht="12.75">
      <c r="A22" s="20" t="s">
        <v>174</v>
      </c>
      <c r="B22" s="20" t="s">
        <v>179</v>
      </c>
      <c r="C22" s="20" t="s">
        <v>176</v>
      </c>
      <c r="D22" s="20" t="str">
        <f>"0,7842"</f>
        <v>0,7842</v>
      </c>
      <c r="E22" s="20" t="s">
        <v>25</v>
      </c>
      <c r="F22" s="20" t="s">
        <v>177</v>
      </c>
      <c r="G22" s="21" t="s">
        <v>105</v>
      </c>
      <c r="H22" s="21" t="s">
        <v>171</v>
      </c>
      <c r="I22" s="21" t="s">
        <v>160</v>
      </c>
      <c r="J22" s="22"/>
      <c r="K22" s="21" t="s">
        <v>103</v>
      </c>
      <c r="L22" s="22" t="s">
        <v>178</v>
      </c>
      <c r="M22" s="22" t="s">
        <v>178</v>
      </c>
      <c r="N22" s="22"/>
      <c r="O22" s="21" t="s">
        <v>130</v>
      </c>
      <c r="P22" s="21" t="s">
        <v>152</v>
      </c>
      <c r="Q22" s="21" t="s">
        <v>161</v>
      </c>
      <c r="R22" s="22"/>
      <c r="S22" s="20" t="str">
        <f>"260,0"</f>
        <v>260,0</v>
      </c>
      <c r="T22" s="21" t="str">
        <f>"210,2127"</f>
        <v>210,2127</v>
      </c>
      <c r="U22" s="20" t="s">
        <v>49</v>
      </c>
    </row>
    <row r="24" spans="1:20" ht="15">
      <c r="A24" s="49" t="s">
        <v>180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1" ht="12.75">
      <c r="A25" s="8" t="s">
        <v>182</v>
      </c>
      <c r="B25" s="8" t="s">
        <v>183</v>
      </c>
      <c r="C25" s="8" t="s">
        <v>184</v>
      </c>
      <c r="D25" s="8" t="str">
        <f>"0,7004"</f>
        <v>0,7004</v>
      </c>
      <c r="E25" s="8" t="s">
        <v>25</v>
      </c>
      <c r="F25" s="8" t="s">
        <v>170</v>
      </c>
      <c r="G25" s="9" t="s">
        <v>100</v>
      </c>
      <c r="H25" s="9" t="s">
        <v>160</v>
      </c>
      <c r="I25" s="9" t="s">
        <v>152</v>
      </c>
      <c r="J25" s="10"/>
      <c r="K25" s="9" t="s">
        <v>185</v>
      </c>
      <c r="L25" s="10" t="s">
        <v>186</v>
      </c>
      <c r="M25" s="9" t="s">
        <v>187</v>
      </c>
      <c r="N25" s="10"/>
      <c r="O25" s="9" t="s">
        <v>130</v>
      </c>
      <c r="P25" s="9" t="s">
        <v>131</v>
      </c>
      <c r="Q25" s="9" t="s">
        <v>161</v>
      </c>
      <c r="R25" s="10"/>
      <c r="S25" s="8" t="str">
        <f>"277,5"</f>
        <v>277,5</v>
      </c>
      <c r="T25" s="9" t="str">
        <f>"194,3610"</f>
        <v>194,3610</v>
      </c>
      <c r="U25" s="8" t="s">
        <v>49</v>
      </c>
    </row>
    <row r="27" spans="1:20" ht="15">
      <c r="A27" s="49" t="s">
        <v>188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1" ht="12.75">
      <c r="A28" s="17" t="s">
        <v>190</v>
      </c>
      <c r="B28" s="17" t="s">
        <v>191</v>
      </c>
      <c r="C28" s="17" t="s">
        <v>192</v>
      </c>
      <c r="D28" s="17" t="str">
        <f>"0,6964"</f>
        <v>0,6964</v>
      </c>
      <c r="E28" s="17" t="s">
        <v>25</v>
      </c>
      <c r="F28" s="17" t="s">
        <v>26</v>
      </c>
      <c r="G28" s="18" t="s">
        <v>99</v>
      </c>
      <c r="H28" s="18" t="s">
        <v>105</v>
      </c>
      <c r="I28" s="18" t="s">
        <v>152</v>
      </c>
      <c r="J28" s="19"/>
      <c r="K28" s="18" t="s">
        <v>139</v>
      </c>
      <c r="L28" s="18" t="s">
        <v>193</v>
      </c>
      <c r="M28" s="19" t="s">
        <v>194</v>
      </c>
      <c r="N28" s="19"/>
      <c r="O28" s="18" t="s">
        <v>161</v>
      </c>
      <c r="P28" s="18" t="s">
        <v>195</v>
      </c>
      <c r="Q28" s="18" t="s">
        <v>196</v>
      </c>
      <c r="R28" s="19"/>
      <c r="S28" s="17" t="str">
        <f>"310,0"</f>
        <v>310,0</v>
      </c>
      <c r="T28" s="18" t="str">
        <f>"233,1547"</f>
        <v>233,1547</v>
      </c>
      <c r="U28" s="17" t="s">
        <v>49</v>
      </c>
    </row>
    <row r="29" spans="1:21" ht="12.75">
      <c r="A29" s="20" t="s">
        <v>198</v>
      </c>
      <c r="B29" s="20" t="s">
        <v>199</v>
      </c>
      <c r="C29" s="20" t="s">
        <v>200</v>
      </c>
      <c r="D29" s="20" t="str">
        <f>"0,6645"</f>
        <v>0,6645</v>
      </c>
      <c r="E29" s="20" t="s">
        <v>25</v>
      </c>
      <c r="F29" s="20" t="s">
        <v>55</v>
      </c>
      <c r="G29" s="21" t="s">
        <v>58</v>
      </c>
      <c r="H29" s="21" t="s">
        <v>27</v>
      </c>
      <c r="I29" s="21" t="s">
        <v>201</v>
      </c>
      <c r="J29" s="22"/>
      <c r="K29" s="21" t="s">
        <v>196</v>
      </c>
      <c r="L29" s="21" t="s">
        <v>202</v>
      </c>
      <c r="M29" s="22" t="s">
        <v>203</v>
      </c>
      <c r="N29" s="22"/>
      <c r="O29" s="22" t="s">
        <v>204</v>
      </c>
      <c r="P29" s="21" t="s">
        <v>205</v>
      </c>
      <c r="Q29" s="21" t="s">
        <v>48</v>
      </c>
      <c r="R29" s="22"/>
      <c r="S29" s="20" t="str">
        <f>"547,5"</f>
        <v>547,5</v>
      </c>
      <c r="T29" s="21" t="str">
        <f>"363,8137"</f>
        <v>363,8137</v>
      </c>
      <c r="U29" s="20" t="s">
        <v>206</v>
      </c>
    </row>
    <row r="31" spans="1:20" ht="15">
      <c r="A31" s="49" t="s">
        <v>180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1" ht="12.75">
      <c r="A32" s="17" t="s">
        <v>208</v>
      </c>
      <c r="B32" s="17" t="s">
        <v>209</v>
      </c>
      <c r="C32" s="17" t="s">
        <v>210</v>
      </c>
      <c r="D32" s="17" t="str">
        <f>"0,6399"</f>
        <v>0,6399</v>
      </c>
      <c r="E32" s="17" t="s">
        <v>25</v>
      </c>
      <c r="F32" s="17" t="s">
        <v>112</v>
      </c>
      <c r="G32" s="18" t="s">
        <v>194</v>
      </c>
      <c r="H32" s="18" t="s">
        <v>100</v>
      </c>
      <c r="I32" s="18" t="s">
        <v>160</v>
      </c>
      <c r="J32" s="19"/>
      <c r="K32" s="18" t="s">
        <v>211</v>
      </c>
      <c r="L32" s="18" t="s">
        <v>139</v>
      </c>
      <c r="M32" s="18" t="s">
        <v>193</v>
      </c>
      <c r="N32" s="19"/>
      <c r="O32" s="18" t="s">
        <v>212</v>
      </c>
      <c r="P32" s="19" t="s">
        <v>213</v>
      </c>
      <c r="Q32" s="18" t="s">
        <v>214</v>
      </c>
      <c r="R32" s="19"/>
      <c r="S32" s="17" t="str">
        <f>"330,0"</f>
        <v>330,0</v>
      </c>
      <c r="T32" s="18" t="str">
        <f>"259,7354"</f>
        <v>259,7354</v>
      </c>
      <c r="U32" s="17" t="s">
        <v>49</v>
      </c>
    </row>
    <row r="33" spans="1:21" ht="12.75">
      <c r="A33" s="20" t="s">
        <v>216</v>
      </c>
      <c r="B33" s="20" t="s">
        <v>217</v>
      </c>
      <c r="C33" s="20" t="s">
        <v>218</v>
      </c>
      <c r="D33" s="20" t="str">
        <f>"0,6273"</f>
        <v>0,6273</v>
      </c>
      <c r="E33" s="20" t="s">
        <v>25</v>
      </c>
      <c r="F33" s="20" t="s">
        <v>126</v>
      </c>
      <c r="G33" s="21" t="s">
        <v>219</v>
      </c>
      <c r="H33" s="22" t="s">
        <v>220</v>
      </c>
      <c r="I33" s="22" t="s">
        <v>220</v>
      </c>
      <c r="J33" s="22"/>
      <c r="K33" s="21" t="s">
        <v>164</v>
      </c>
      <c r="L33" s="21" t="s">
        <v>202</v>
      </c>
      <c r="M33" s="22" t="s">
        <v>221</v>
      </c>
      <c r="N33" s="22"/>
      <c r="O33" s="21" t="s">
        <v>222</v>
      </c>
      <c r="P33" s="22" t="s">
        <v>223</v>
      </c>
      <c r="Q33" s="22" t="s">
        <v>224</v>
      </c>
      <c r="R33" s="22"/>
      <c r="S33" s="20" t="str">
        <f>"532,5"</f>
        <v>532,5</v>
      </c>
      <c r="T33" s="21" t="str">
        <f>"334,0373"</f>
        <v>334,0373</v>
      </c>
      <c r="U33" s="20" t="s">
        <v>49</v>
      </c>
    </row>
    <row r="35" spans="1:20" ht="15">
      <c r="A35" s="49" t="s">
        <v>37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1" ht="12.75">
      <c r="A36" s="17" t="s">
        <v>226</v>
      </c>
      <c r="B36" s="17" t="s">
        <v>227</v>
      </c>
      <c r="C36" s="17" t="s">
        <v>228</v>
      </c>
      <c r="D36" s="17" t="str">
        <f>"0,5701"</f>
        <v>0,5701</v>
      </c>
      <c r="E36" s="17" t="s">
        <v>25</v>
      </c>
      <c r="F36" s="17" t="s">
        <v>112</v>
      </c>
      <c r="G36" s="18" t="s">
        <v>46</v>
      </c>
      <c r="H36" s="19" t="s">
        <v>204</v>
      </c>
      <c r="I36" s="18" t="s">
        <v>29</v>
      </c>
      <c r="J36" s="19"/>
      <c r="K36" s="18" t="s">
        <v>30</v>
      </c>
      <c r="L36" s="18" t="s">
        <v>229</v>
      </c>
      <c r="M36" s="19" t="s">
        <v>213</v>
      </c>
      <c r="N36" s="19"/>
      <c r="O36" s="18" t="s">
        <v>230</v>
      </c>
      <c r="P36" s="18" t="s">
        <v>48</v>
      </c>
      <c r="Q36" s="18" t="s">
        <v>231</v>
      </c>
      <c r="R36" s="19"/>
      <c r="S36" s="17" t="str">
        <f>"592,5"</f>
        <v>592,5</v>
      </c>
      <c r="T36" s="18" t="str">
        <f>"364,8070"</f>
        <v>364,8070</v>
      </c>
      <c r="U36" s="17" t="s">
        <v>49</v>
      </c>
    </row>
    <row r="37" spans="1:21" ht="12.75">
      <c r="A37" s="20" t="s">
        <v>233</v>
      </c>
      <c r="B37" s="20" t="s">
        <v>234</v>
      </c>
      <c r="C37" s="20" t="s">
        <v>235</v>
      </c>
      <c r="D37" s="20" t="str">
        <f>"0,5583"</f>
        <v>0,5583</v>
      </c>
      <c r="E37" s="20" t="s">
        <v>25</v>
      </c>
      <c r="F37" s="20" t="s">
        <v>170</v>
      </c>
      <c r="G37" s="21" t="s">
        <v>32</v>
      </c>
      <c r="H37" s="21" t="s">
        <v>58</v>
      </c>
      <c r="I37" s="21" t="s">
        <v>43</v>
      </c>
      <c r="J37" s="22"/>
      <c r="K37" s="21" t="s">
        <v>202</v>
      </c>
      <c r="L37" s="21" t="s">
        <v>30</v>
      </c>
      <c r="M37" s="21" t="s">
        <v>229</v>
      </c>
      <c r="N37" s="22"/>
      <c r="O37" s="21" t="s">
        <v>236</v>
      </c>
      <c r="P37" s="21" t="s">
        <v>237</v>
      </c>
      <c r="Q37" s="21" t="s">
        <v>201</v>
      </c>
      <c r="R37" s="22"/>
      <c r="S37" s="20" t="str">
        <f>"510,0"</f>
        <v>510,0</v>
      </c>
      <c r="T37" s="21" t="str">
        <f>"284,7330"</f>
        <v>284,7330</v>
      </c>
      <c r="U37" s="20" t="s">
        <v>49</v>
      </c>
    </row>
    <row r="39" spans="1:20" ht="15">
      <c r="A39" s="49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1" ht="12.75">
      <c r="A40" s="8" t="s">
        <v>239</v>
      </c>
      <c r="B40" s="8" t="s">
        <v>240</v>
      </c>
      <c r="C40" s="8" t="s">
        <v>241</v>
      </c>
      <c r="D40" s="8" t="str">
        <f>"0,5237"</f>
        <v>0,5237</v>
      </c>
      <c r="E40" s="8" t="s">
        <v>111</v>
      </c>
      <c r="F40" s="8" t="s">
        <v>112</v>
      </c>
      <c r="G40" s="9" t="s">
        <v>242</v>
      </c>
      <c r="H40" s="9" t="s">
        <v>213</v>
      </c>
      <c r="I40" s="9" t="s">
        <v>32</v>
      </c>
      <c r="J40" s="10"/>
      <c r="K40" s="9" t="s">
        <v>114</v>
      </c>
      <c r="L40" s="9" t="s">
        <v>141</v>
      </c>
      <c r="M40" s="10" t="s">
        <v>120</v>
      </c>
      <c r="N40" s="10"/>
      <c r="O40" s="9" t="s">
        <v>32</v>
      </c>
      <c r="P40" s="9" t="s">
        <v>243</v>
      </c>
      <c r="Q40" s="9" t="s">
        <v>244</v>
      </c>
      <c r="R40" s="10"/>
      <c r="S40" s="8" t="str">
        <f>"427,5"</f>
        <v>427,5</v>
      </c>
      <c r="T40" s="9" t="str">
        <f>"252,9864"</f>
        <v>252,9864</v>
      </c>
      <c r="U40" s="8" t="s">
        <v>49</v>
      </c>
    </row>
    <row r="42" ht="15">
      <c r="E42" s="6" t="s">
        <v>12</v>
      </c>
    </row>
    <row r="43" ht="15">
      <c r="E43" s="6" t="s">
        <v>13</v>
      </c>
    </row>
    <row r="44" ht="15">
      <c r="E44" s="6" t="s">
        <v>14</v>
      </c>
    </row>
    <row r="45" ht="15">
      <c r="E45" s="6" t="s">
        <v>15</v>
      </c>
    </row>
    <row r="46" ht="15">
      <c r="E46" s="6" t="s">
        <v>15</v>
      </c>
    </row>
    <row r="47" ht="15">
      <c r="E47" s="6" t="s">
        <v>16</v>
      </c>
    </row>
    <row r="48" ht="15">
      <c r="E48" s="6"/>
    </row>
    <row r="50" spans="1:2" ht="18">
      <c r="A50" s="7" t="s">
        <v>17</v>
      </c>
      <c r="B50" s="7"/>
    </row>
    <row r="51" spans="1:2" ht="15">
      <c r="A51" s="11" t="s">
        <v>245</v>
      </c>
      <c r="B51" s="11"/>
    </row>
    <row r="52" spans="1:2" ht="14.25">
      <c r="A52" s="13"/>
      <c r="B52" s="14" t="s">
        <v>246</v>
      </c>
    </row>
    <row r="53" spans="1:5" ht="15">
      <c r="A53" s="15" t="s">
        <v>63</v>
      </c>
      <c r="B53" s="15" t="s">
        <v>64</v>
      </c>
      <c r="C53" s="15" t="s">
        <v>65</v>
      </c>
      <c r="D53" s="15" t="s">
        <v>66</v>
      </c>
      <c r="E53" s="15" t="s">
        <v>67</v>
      </c>
    </row>
    <row r="54" spans="1:5" ht="12.75">
      <c r="A54" s="12" t="s">
        <v>107</v>
      </c>
      <c r="B54" s="5" t="s">
        <v>247</v>
      </c>
      <c r="C54" s="5" t="s">
        <v>248</v>
      </c>
      <c r="D54" s="5" t="s">
        <v>220</v>
      </c>
      <c r="E54" s="16" t="s">
        <v>249</v>
      </c>
    </row>
    <row r="55" spans="1:5" ht="12.75">
      <c r="A55" s="12" t="s">
        <v>134</v>
      </c>
      <c r="B55" s="5" t="s">
        <v>250</v>
      </c>
      <c r="C55" s="5" t="s">
        <v>251</v>
      </c>
      <c r="D55" s="5" t="s">
        <v>252</v>
      </c>
      <c r="E55" s="16" t="s">
        <v>253</v>
      </c>
    </row>
    <row r="57" spans="1:2" ht="14.25">
      <c r="A57" s="13"/>
      <c r="B57" s="14" t="s">
        <v>254</v>
      </c>
    </row>
    <row r="58" spans="1:5" ht="15">
      <c r="A58" s="15" t="s">
        <v>63</v>
      </c>
      <c r="B58" s="15" t="s">
        <v>64</v>
      </c>
      <c r="C58" s="15" t="s">
        <v>65</v>
      </c>
      <c r="D58" s="15" t="s">
        <v>66</v>
      </c>
      <c r="E58" s="15" t="s">
        <v>67</v>
      </c>
    </row>
    <row r="59" spans="1:5" ht="12.75">
      <c r="A59" s="12" t="s">
        <v>95</v>
      </c>
      <c r="B59" s="5" t="s">
        <v>255</v>
      </c>
      <c r="C59" s="5" t="s">
        <v>256</v>
      </c>
      <c r="D59" s="5" t="s">
        <v>257</v>
      </c>
      <c r="E59" s="16" t="s">
        <v>258</v>
      </c>
    </row>
    <row r="61" spans="1:2" ht="14.25">
      <c r="A61" s="13"/>
      <c r="B61" s="14" t="s">
        <v>62</v>
      </c>
    </row>
    <row r="62" spans="1:5" ht="15">
      <c r="A62" s="15" t="s">
        <v>63</v>
      </c>
      <c r="B62" s="15" t="s">
        <v>64</v>
      </c>
      <c r="C62" s="15" t="s">
        <v>65</v>
      </c>
      <c r="D62" s="15" t="s">
        <v>66</v>
      </c>
      <c r="E62" s="15" t="s">
        <v>67</v>
      </c>
    </row>
    <row r="63" spans="1:5" ht="12.75">
      <c r="A63" s="12" t="s">
        <v>156</v>
      </c>
      <c r="B63" s="5" t="s">
        <v>62</v>
      </c>
      <c r="C63" s="5" t="s">
        <v>114</v>
      </c>
      <c r="D63" s="5" t="s">
        <v>259</v>
      </c>
      <c r="E63" s="16" t="s">
        <v>260</v>
      </c>
    </row>
    <row r="64" spans="1:5" ht="12.75">
      <c r="A64" s="12" t="s">
        <v>146</v>
      </c>
      <c r="B64" s="5" t="s">
        <v>62</v>
      </c>
      <c r="C64" s="5" t="s">
        <v>251</v>
      </c>
      <c r="D64" s="5" t="s">
        <v>261</v>
      </c>
      <c r="E64" s="16" t="s">
        <v>262</v>
      </c>
    </row>
    <row r="65" spans="1:5" ht="12.75">
      <c r="A65" s="12" t="s">
        <v>173</v>
      </c>
      <c r="B65" s="5" t="s">
        <v>62</v>
      </c>
      <c r="C65" s="5" t="s">
        <v>115</v>
      </c>
      <c r="D65" s="5" t="s">
        <v>263</v>
      </c>
      <c r="E65" s="16" t="s">
        <v>264</v>
      </c>
    </row>
    <row r="66" spans="1:5" ht="12.75">
      <c r="A66" s="12" t="s">
        <v>181</v>
      </c>
      <c r="B66" s="5" t="s">
        <v>62</v>
      </c>
      <c r="C66" s="5" t="s">
        <v>265</v>
      </c>
      <c r="D66" s="5" t="s">
        <v>266</v>
      </c>
      <c r="E66" s="16" t="s">
        <v>267</v>
      </c>
    </row>
    <row r="68" spans="1:2" ht="14.25">
      <c r="A68" s="13"/>
      <c r="B68" s="14" t="s">
        <v>268</v>
      </c>
    </row>
    <row r="69" spans="1:5" ht="15">
      <c r="A69" s="15" t="s">
        <v>63</v>
      </c>
      <c r="B69" s="15" t="s">
        <v>64</v>
      </c>
      <c r="C69" s="15" t="s">
        <v>65</v>
      </c>
      <c r="D69" s="15" t="s">
        <v>66</v>
      </c>
      <c r="E69" s="15" t="s">
        <v>67</v>
      </c>
    </row>
    <row r="70" spans="1:5" ht="12.75">
      <c r="A70" s="12" t="s">
        <v>122</v>
      </c>
      <c r="B70" s="5" t="s">
        <v>269</v>
      </c>
      <c r="C70" s="5" t="s">
        <v>248</v>
      </c>
      <c r="D70" s="5" t="s">
        <v>270</v>
      </c>
      <c r="E70" s="16" t="s">
        <v>271</v>
      </c>
    </row>
    <row r="71" spans="1:5" ht="12.75">
      <c r="A71" s="12" t="s">
        <v>173</v>
      </c>
      <c r="B71" s="5" t="s">
        <v>269</v>
      </c>
      <c r="C71" s="5" t="s">
        <v>115</v>
      </c>
      <c r="D71" s="5" t="s">
        <v>263</v>
      </c>
      <c r="E71" s="16" t="s">
        <v>272</v>
      </c>
    </row>
    <row r="72" spans="1:5" ht="12.75">
      <c r="A72" s="12" t="s">
        <v>166</v>
      </c>
      <c r="B72" s="5" t="s">
        <v>269</v>
      </c>
      <c r="C72" s="5" t="s">
        <v>114</v>
      </c>
      <c r="D72" s="5" t="s">
        <v>270</v>
      </c>
      <c r="E72" s="16" t="s">
        <v>273</v>
      </c>
    </row>
    <row r="75" spans="1:2" ht="15">
      <c r="A75" s="11" t="s">
        <v>61</v>
      </c>
      <c r="B75" s="11"/>
    </row>
    <row r="76" spans="1:2" ht="14.25">
      <c r="A76" s="13"/>
      <c r="B76" s="14" t="s">
        <v>274</v>
      </c>
    </row>
    <row r="77" spans="1:5" ht="15">
      <c r="A77" s="15" t="s">
        <v>63</v>
      </c>
      <c r="B77" s="15" t="s">
        <v>64</v>
      </c>
      <c r="C77" s="15" t="s">
        <v>65</v>
      </c>
      <c r="D77" s="15" t="s">
        <v>66</v>
      </c>
      <c r="E77" s="15" t="s">
        <v>67</v>
      </c>
    </row>
    <row r="78" spans="1:5" ht="12.75">
      <c r="A78" s="12" t="s">
        <v>225</v>
      </c>
      <c r="B78" s="5" t="s">
        <v>275</v>
      </c>
      <c r="C78" s="5" t="s">
        <v>74</v>
      </c>
      <c r="D78" s="5" t="s">
        <v>276</v>
      </c>
      <c r="E78" s="16" t="s">
        <v>277</v>
      </c>
    </row>
    <row r="79" spans="1:5" ht="12.75">
      <c r="A79" s="12" t="s">
        <v>207</v>
      </c>
      <c r="B79" s="5" t="s">
        <v>247</v>
      </c>
      <c r="C79" s="5" t="s">
        <v>265</v>
      </c>
      <c r="D79" s="5" t="s">
        <v>278</v>
      </c>
      <c r="E79" s="16" t="s">
        <v>279</v>
      </c>
    </row>
    <row r="80" spans="1:5" ht="12.75">
      <c r="A80" s="12" t="s">
        <v>238</v>
      </c>
      <c r="B80" s="5" t="s">
        <v>275</v>
      </c>
      <c r="C80" s="5" t="s">
        <v>68</v>
      </c>
      <c r="D80" s="5" t="s">
        <v>280</v>
      </c>
      <c r="E80" s="16" t="s">
        <v>281</v>
      </c>
    </row>
    <row r="81" spans="1:5" ht="12.75">
      <c r="A81" s="12" t="s">
        <v>189</v>
      </c>
      <c r="B81" s="5" t="s">
        <v>275</v>
      </c>
      <c r="C81" s="5" t="s">
        <v>141</v>
      </c>
      <c r="D81" s="5" t="s">
        <v>282</v>
      </c>
      <c r="E81" s="16" t="s">
        <v>283</v>
      </c>
    </row>
    <row r="83" spans="1:2" ht="14.25">
      <c r="A83" s="13"/>
      <c r="B83" s="14" t="s">
        <v>62</v>
      </c>
    </row>
    <row r="84" spans="1:5" ht="15">
      <c r="A84" s="15" t="s">
        <v>63</v>
      </c>
      <c r="B84" s="15" t="s">
        <v>64</v>
      </c>
      <c r="C84" s="15" t="s">
        <v>65</v>
      </c>
      <c r="D84" s="15" t="s">
        <v>66</v>
      </c>
      <c r="E84" s="15" t="s">
        <v>67</v>
      </c>
    </row>
    <row r="85" spans="1:5" ht="12.75">
      <c r="A85" s="12" t="s">
        <v>197</v>
      </c>
      <c r="B85" s="5" t="s">
        <v>62</v>
      </c>
      <c r="C85" s="5" t="s">
        <v>141</v>
      </c>
      <c r="D85" s="5" t="s">
        <v>284</v>
      </c>
      <c r="E85" s="16" t="s">
        <v>285</v>
      </c>
    </row>
    <row r="86" spans="1:5" ht="12.75">
      <c r="A86" s="12" t="s">
        <v>215</v>
      </c>
      <c r="B86" s="5" t="s">
        <v>62</v>
      </c>
      <c r="C86" s="5" t="s">
        <v>265</v>
      </c>
      <c r="D86" s="5" t="s">
        <v>286</v>
      </c>
      <c r="E86" s="16" t="s">
        <v>287</v>
      </c>
    </row>
    <row r="87" spans="1:5" ht="12.75">
      <c r="A87" s="12" t="s">
        <v>232</v>
      </c>
      <c r="B87" s="5" t="s">
        <v>62</v>
      </c>
      <c r="C87" s="5" t="s">
        <v>74</v>
      </c>
      <c r="D87" s="5" t="s">
        <v>288</v>
      </c>
      <c r="E87" s="16" t="s">
        <v>289</v>
      </c>
    </row>
  </sheetData>
  <sheetProtection/>
  <mergeCells count="23">
    <mergeCell ref="A8:T8"/>
    <mergeCell ref="A12:T12"/>
    <mergeCell ref="A16:T16"/>
    <mergeCell ref="A20:T20"/>
    <mergeCell ref="A39:T39"/>
    <mergeCell ref="A24:T24"/>
    <mergeCell ref="A27:T27"/>
    <mergeCell ref="A31:T31"/>
    <mergeCell ref="A35:T35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17.25390625" style="5" bestFit="1" customWidth="1"/>
    <col min="7" max="9" width="6.625" style="4" bestFit="1" customWidth="1"/>
    <col min="10" max="10" width="4.875" style="4" bestFit="1" customWidth="1"/>
    <col min="11" max="11" width="6.625" style="4" bestFit="1" customWidth="1"/>
    <col min="12" max="12" width="5.625" style="4" bestFit="1" customWidth="1"/>
    <col min="13" max="13" width="2.125" style="4" bestFit="1" customWidth="1"/>
    <col min="14" max="14" width="4.875" style="4" bestFit="1" customWidth="1"/>
    <col min="15" max="15" width="6.625" style="4" bestFit="1" customWidth="1"/>
    <col min="16" max="16" width="5.625" style="4" bestFit="1" customWidth="1"/>
    <col min="17" max="17" width="2.1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3.625" style="5" bestFit="1" customWidth="1"/>
    <col min="22" max="16384" width="9.125" style="4" customWidth="1"/>
  </cols>
  <sheetData>
    <row r="1" spans="1:21" s="3" customFormat="1" ht="28.5" customHeight="1">
      <c r="A1" s="40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1</v>
      </c>
      <c r="H3" s="34"/>
      <c r="I3" s="34"/>
      <c r="J3" s="34"/>
      <c r="K3" s="34" t="s">
        <v>2</v>
      </c>
      <c r="L3" s="34"/>
      <c r="M3" s="34"/>
      <c r="N3" s="34"/>
      <c r="O3" s="34" t="s">
        <v>3</v>
      </c>
      <c r="P3" s="34"/>
      <c r="Q3" s="34"/>
      <c r="R3" s="34"/>
      <c r="S3" s="34" t="s">
        <v>4</v>
      </c>
      <c r="T3" s="34" t="s">
        <v>6</v>
      </c>
      <c r="U3" s="36" t="s">
        <v>5</v>
      </c>
    </row>
    <row r="4" spans="1:21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5"/>
      <c r="T4" s="35"/>
      <c r="U4" s="37"/>
    </row>
    <row r="5" spans="1:20" ht="15">
      <c r="A5" s="38" t="s">
        <v>37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 ht="12.75">
      <c r="A6" s="8" t="s">
        <v>79</v>
      </c>
      <c r="B6" s="8" t="s">
        <v>80</v>
      </c>
      <c r="C6" s="8" t="s">
        <v>81</v>
      </c>
      <c r="D6" s="8" t="str">
        <f>"0,5550"</f>
        <v>0,5550</v>
      </c>
      <c r="E6" s="8" t="s">
        <v>25</v>
      </c>
      <c r="F6" s="8" t="s">
        <v>82</v>
      </c>
      <c r="G6" s="9" t="s">
        <v>83</v>
      </c>
      <c r="H6" s="9" t="s">
        <v>84</v>
      </c>
      <c r="I6" s="9" t="s">
        <v>85</v>
      </c>
      <c r="J6" s="10"/>
      <c r="K6" s="9" t="s">
        <v>86</v>
      </c>
      <c r="L6" s="10" t="s">
        <v>87</v>
      </c>
      <c r="M6" s="10"/>
      <c r="N6" s="10"/>
      <c r="O6" s="9" t="s">
        <v>88</v>
      </c>
      <c r="P6" s="10" t="s">
        <v>89</v>
      </c>
      <c r="Q6" s="10"/>
      <c r="R6" s="10"/>
      <c r="S6" s="8" t="str">
        <f>"900,0"</f>
        <v>900,0</v>
      </c>
      <c r="T6" s="9" t="str">
        <f>"499,5000"</f>
        <v>499,5000</v>
      </c>
      <c r="U6" s="8" t="s">
        <v>90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  <row r="17" spans="1:2" ht="15">
      <c r="A17" s="11" t="s">
        <v>61</v>
      </c>
      <c r="B17" s="11"/>
    </row>
    <row r="18" spans="1:2" ht="14.25">
      <c r="A18" s="13"/>
      <c r="B18" s="14" t="s">
        <v>62</v>
      </c>
    </row>
    <row r="19" spans="1:5" ht="15">
      <c r="A19" s="15" t="s">
        <v>63</v>
      </c>
      <c r="B19" s="15" t="s">
        <v>64</v>
      </c>
      <c r="C19" s="15" t="s">
        <v>65</v>
      </c>
      <c r="D19" s="15" t="s">
        <v>66</v>
      </c>
      <c r="E19" s="15" t="s">
        <v>67</v>
      </c>
    </row>
    <row r="20" spans="1:5" ht="12.75">
      <c r="A20" s="12" t="s">
        <v>78</v>
      </c>
      <c r="B20" s="5" t="s">
        <v>62</v>
      </c>
      <c r="C20" s="5" t="s">
        <v>74</v>
      </c>
      <c r="D20" s="5" t="s">
        <v>91</v>
      </c>
      <c r="E20" s="16" t="s">
        <v>92</v>
      </c>
    </row>
  </sheetData>
  <sheetProtection/>
  <mergeCells count="14"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5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888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/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6" ht="15">
      <c r="E6" s="6" t="s">
        <v>12</v>
      </c>
    </row>
    <row r="7" ht="15">
      <c r="E7" s="6" t="s">
        <v>13</v>
      </c>
    </row>
    <row r="8" ht="15">
      <c r="E8" s="6" t="s">
        <v>14</v>
      </c>
    </row>
    <row r="9" ht="15">
      <c r="E9" s="6" t="s">
        <v>15</v>
      </c>
    </row>
    <row r="10" ht="15">
      <c r="E10" s="6" t="s">
        <v>15</v>
      </c>
    </row>
    <row r="11" ht="15">
      <c r="E11" s="6" t="s">
        <v>16</v>
      </c>
    </row>
    <row r="12" ht="15">
      <c r="E12" s="6"/>
    </row>
    <row r="14" spans="1:2" ht="18">
      <c r="A14" s="7" t="s">
        <v>17</v>
      </c>
      <c r="B14" s="7"/>
    </row>
  </sheetData>
  <sheetProtection/>
  <mergeCells count="11">
    <mergeCell ref="F3:F4"/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30.125" style="5" bestFit="1" customWidth="1"/>
    <col min="7" max="9" width="6.625" style="4" bestFit="1" customWidth="1"/>
    <col min="10" max="10" width="4.875" style="4" bestFit="1" customWidth="1"/>
    <col min="11" max="12" width="6.625" style="4" bestFit="1" customWidth="1"/>
    <col min="13" max="13" width="5.625" style="4" bestFit="1" customWidth="1"/>
    <col min="14" max="14" width="4.875" style="4" bestFit="1" customWidth="1"/>
    <col min="15" max="17" width="6.625" style="4" bestFit="1" customWidth="1"/>
    <col min="18" max="18" width="4.875" style="4" bestFit="1" customWidth="1"/>
    <col min="19" max="19" width="7.875" style="5" bestFit="1" customWidth="1"/>
    <col min="20" max="20" width="8.625" style="4" bestFit="1" customWidth="1"/>
    <col min="21" max="21" width="12.625" style="5" bestFit="1" customWidth="1"/>
    <col min="22" max="16384" width="9.125" style="4" customWidth="1"/>
  </cols>
  <sheetData>
    <row r="1" spans="1:21" s="3" customFormat="1" ht="28.5" customHeight="1">
      <c r="A1" s="40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1</v>
      </c>
      <c r="H3" s="34"/>
      <c r="I3" s="34"/>
      <c r="J3" s="34"/>
      <c r="K3" s="34" t="s">
        <v>2</v>
      </c>
      <c r="L3" s="34"/>
      <c r="M3" s="34"/>
      <c r="N3" s="34"/>
      <c r="O3" s="34" t="s">
        <v>3</v>
      </c>
      <c r="P3" s="34"/>
      <c r="Q3" s="34"/>
      <c r="R3" s="34"/>
      <c r="S3" s="34" t="s">
        <v>4</v>
      </c>
      <c r="T3" s="34" t="s">
        <v>6</v>
      </c>
      <c r="U3" s="36" t="s">
        <v>5</v>
      </c>
    </row>
    <row r="4" spans="1:21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2">
        <v>1</v>
      </c>
      <c r="L4" s="2">
        <v>2</v>
      </c>
      <c r="M4" s="2">
        <v>3</v>
      </c>
      <c r="N4" s="2" t="s">
        <v>8</v>
      </c>
      <c r="O4" s="2">
        <v>1</v>
      </c>
      <c r="P4" s="2">
        <v>2</v>
      </c>
      <c r="Q4" s="2">
        <v>3</v>
      </c>
      <c r="R4" s="2" t="s">
        <v>8</v>
      </c>
      <c r="S4" s="35"/>
      <c r="T4" s="35"/>
      <c r="U4" s="37"/>
    </row>
    <row r="5" spans="1:20" ht="15">
      <c r="A5" s="38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1" ht="12.75">
      <c r="A6" s="8" t="s">
        <v>22</v>
      </c>
      <c r="B6" s="8" t="s">
        <v>23</v>
      </c>
      <c r="C6" s="8" t="s">
        <v>24</v>
      </c>
      <c r="D6" s="8" t="str">
        <f>"0,5982"</f>
        <v>0,5982</v>
      </c>
      <c r="E6" s="8" t="s">
        <v>25</v>
      </c>
      <c r="F6" s="8" t="s">
        <v>26</v>
      </c>
      <c r="G6" s="9" t="s">
        <v>27</v>
      </c>
      <c r="H6" s="9" t="s">
        <v>28</v>
      </c>
      <c r="I6" s="9" t="s">
        <v>29</v>
      </c>
      <c r="J6" s="10"/>
      <c r="K6" s="9" t="s">
        <v>30</v>
      </c>
      <c r="L6" s="9" t="s">
        <v>31</v>
      </c>
      <c r="M6" s="10" t="s">
        <v>32</v>
      </c>
      <c r="N6" s="10"/>
      <c r="O6" s="9" t="s">
        <v>33</v>
      </c>
      <c r="P6" s="9" t="s">
        <v>34</v>
      </c>
      <c r="Q6" s="9" t="s">
        <v>35</v>
      </c>
      <c r="R6" s="10"/>
      <c r="S6" s="8" t="str">
        <f>"625,0"</f>
        <v>625,0</v>
      </c>
      <c r="T6" s="9" t="str">
        <f>"373,8750"</f>
        <v>373,8750</v>
      </c>
      <c r="U6" s="8" t="s">
        <v>36</v>
      </c>
    </row>
    <row r="8" spans="1:20" ht="15">
      <c r="A8" s="49" t="s">
        <v>37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1" ht="12.75">
      <c r="A9" s="8" t="s">
        <v>39</v>
      </c>
      <c r="B9" s="8" t="s">
        <v>40</v>
      </c>
      <c r="C9" s="8" t="s">
        <v>41</v>
      </c>
      <c r="D9" s="8" t="str">
        <f>"0,5648"</f>
        <v>0,5648</v>
      </c>
      <c r="E9" s="8" t="s">
        <v>25</v>
      </c>
      <c r="F9" s="8" t="s">
        <v>42</v>
      </c>
      <c r="G9" s="9" t="s">
        <v>43</v>
      </c>
      <c r="H9" s="9" t="s">
        <v>44</v>
      </c>
      <c r="I9" s="9" t="s">
        <v>45</v>
      </c>
      <c r="J9" s="10"/>
      <c r="K9" s="9" t="s">
        <v>30</v>
      </c>
      <c r="L9" s="9" t="s">
        <v>31</v>
      </c>
      <c r="M9" s="10" t="s">
        <v>32</v>
      </c>
      <c r="N9" s="10"/>
      <c r="O9" s="9" t="s">
        <v>46</v>
      </c>
      <c r="P9" s="9" t="s">
        <v>47</v>
      </c>
      <c r="Q9" s="9" t="s">
        <v>48</v>
      </c>
      <c r="R9" s="10"/>
      <c r="S9" s="8" t="str">
        <f>"575,0"</f>
        <v>575,0</v>
      </c>
      <c r="T9" s="9" t="str">
        <f>"324,7600"</f>
        <v>324,7600</v>
      </c>
      <c r="U9" s="8" t="s">
        <v>49</v>
      </c>
    </row>
    <row r="11" spans="1:20" ht="15">
      <c r="A11" s="49" t="s">
        <v>50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1" ht="12.75">
      <c r="A12" s="8" t="s">
        <v>52</v>
      </c>
      <c r="B12" s="8" t="s">
        <v>53</v>
      </c>
      <c r="C12" s="8" t="s">
        <v>54</v>
      </c>
      <c r="D12" s="8" t="str">
        <f>"0,5314"</f>
        <v>0,5314</v>
      </c>
      <c r="E12" s="8" t="s">
        <v>25</v>
      </c>
      <c r="F12" s="8" t="s">
        <v>55</v>
      </c>
      <c r="G12" s="9" t="s">
        <v>56</v>
      </c>
      <c r="H12" s="9" t="s">
        <v>57</v>
      </c>
      <c r="I12" s="10"/>
      <c r="J12" s="10"/>
      <c r="K12" s="9" t="s">
        <v>58</v>
      </c>
      <c r="L12" s="10" t="s">
        <v>59</v>
      </c>
      <c r="M12" s="10"/>
      <c r="N12" s="10"/>
      <c r="O12" s="9" t="s">
        <v>60</v>
      </c>
      <c r="P12" s="9" t="s">
        <v>57</v>
      </c>
      <c r="Q12" s="10"/>
      <c r="R12" s="10"/>
      <c r="S12" s="8" t="str">
        <f>"770,0"</f>
        <v>770,0</v>
      </c>
      <c r="T12" s="9" t="str">
        <f>"409,1780"</f>
        <v>409,1780</v>
      </c>
      <c r="U12" s="8" t="s">
        <v>49</v>
      </c>
    </row>
    <row r="14" ht="15">
      <c r="E14" s="6" t="s">
        <v>12</v>
      </c>
    </row>
    <row r="15" ht="15">
      <c r="E15" s="6" t="s">
        <v>13</v>
      </c>
    </row>
    <row r="16" ht="15">
      <c r="E16" s="6" t="s">
        <v>14</v>
      </c>
    </row>
    <row r="17" ht="15">
      <c r="E17" s="6" t="s">
        <v>15</v>
      </c>
    </row>
    <row r="18" ht="15">
      <c r="E18" s="6" t="s">
        <v>15</v>
      </c>
    </row>
    <row r="19" ht="15">
      <c r="E19" s="6" t="s">
        <v>16</v>
      </c>
    </row>
    <row r="20" ht="15">
      <c r="E20" s="6"/>
    </row>
    <row r="22" spans="1:2" ht="18">
      <c r="A22" s="7" t="s">
        <v>17</v>
      </c>
      <c r="B22" s="7"/>
    </row>
    <row r="23" spans="1:2" ht="15">
      <c r="A23" s="11" t="s">
        <v>61</v>
      </c>
      <c r="B23" s="11"/>
    </row>
    <row r="24" spans="1:2" ht="14.25">
      <c r="A24" s="13"/>
      <c r="B24" s="14" t="s">
        <v>62</v>
      </c>
    </row>
    <row r="25" spans="1:5" ht="15">
      <c r="A25" s="15" t="s">
        <v>63</v>
      </c>
      <c r="B25" s="15" t="s">
        <v>64</v>
      </c>
      <c r="C25" s="15" t="s">
        <v>65</v>
      </c>
      <c r="D25" s="15" t="s">
        <v>66</v>
      </c>
      <c r="E25" s="15" t="s">
        <v>67</v>
      </c>
    </row>
    <row r="26" spans="1:5" ht="12.75">
      <c r="A26" s="12" t="s">
        <v>51</v>
      </c>
      <c r="B26" s="5" t="s">
        <v>62</v>
      </c>
      <c r="C26" s="5" t="s">
        <v>68</v>
      </c>
      <c r="D26" s="5" t="s">
        <v>69</v>
      </c>
      <c r="E26" s="16" t="s">
        <v>70</v>
      </c>
    </row>
    <row r="27" spans="1:5" ht="12.75">
      <c r="A27" s="12" t="s">
        <v>21</v>
      </c>
      <c r="B27" s="5" t="s">
        <v>62</v>
      </c>
      <c r="C27" s="5" t="s">
        <v>71</v>
      </c>
      <c r="D27" s="5" t="s">
        <v>72</v>
      </c>
      <c r="E27" s="16" t="s">
        <v>73</v>
      </c>
    </row>
    <row r="28" spans="1:5" ht="12.75">
      <c r="A28" s="12" t="s">
        <v>38</v>
      </c>
      <c r="B28" s="5" t="s">
        <v>62</v>
      </c>
      <c r="C28" s="5" t="s">
        <v>74</v>
      </c>
      <c r="D28" s="5" t="s">
        <v>75</v>
      </c>
      <c r="E28" s="16" t="s">
        <v>76</v>
      </c>
    </row>
  </sheetData>
  <sheetProtection/>
  <mergeCells count="16">
    <mergeCell ref="A8:T8"/>
    <mergeCell ref="A11:T11"/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5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890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/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6" ht="15">
      <c r="E6" s="6" t="s">
        <v>12</v>
      </c>
    </row>
    <row r="7" ht="15">
      <c r="E7" s="6" t="s">
        <v>13</v>
      </c>
    </row>
    <row r="8" ht="15">
      <c r="E8" s="6" t="s">
        <v>14</v>
      </c>
    </row>
    <row r="9" ht="15">
      <c r="E9" s="6" t="s">
        <v>15</v>
      </c>
    </row>
    <row r="10" ht="15">
      <c r="E10" s="6" t="s">
        <v>15</v>
      </c>
    </row>
    <row r="11" ht="15">
      <c r="E11" s="6" t="s">
        <v>16</v>
      </c>
    </row>
    <row r="12" ht="15">
      <c r="E12" s="6"/>
    </row>
    <row r="14" spans="1:2" ht="18">
      <c r="A14" s="7" t="s">
        <v>17</v>
      </c>
      <c r="B14" s="7"/>
    </row>
  </sheetData>
  <sheetProtection/>
  <mergeCells count="11">
    <mergeCell ref="F3:F4"/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4" width="10.625" style="5" bestFit="1" customWidth="1"/>
    <col min="5" max="5" width="22.75390625" style="5" bestFit="1" customWidth="1"/>
    <col min="6" max="6" width="33.375" style="5" bestFit="1" customWidth="1"/>
    <col min="7" max="7" width="5.625" style="4" bestFit="1" customWidth="1"/>
    <col min="8" max="8" width="4.625" style="51" bestFit="1" customWidth="1"/>
    <col min="9" max="9" width="7.875" style="5" bestFit="1" customWidth="1"/>
    <col min="10" max="10" width="7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902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 t="s">
        <v>901</v>
      </c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5" spans="1:10" ht="15">
      <c r="A5" s="38" t="s">
        <v>900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ht="12.75">
      <c r="A6" s="8" t="s">
        <v>899</v>
      </c>
      <c r="B6" s="8" t="s">
        <v>898</v>
      </c>
      <c r="C6" s="8" t="s">
        <v>897</v>
      </c>
      <c r="D6" s="8" t="str">
        <f>"1,0000"</f>
        <v>1,0000</v>
      </c>
      <c r="E6" s="8" t="s">
        <v>25</v>
      </c>
      <c r="F6" s="8" t="s">
        <v>397</v>
      </c>
      <c r="G6" s="9" t="s">
        <v>211</v>
      </c>
      <c r="H6" s="53" t="s">
        <v>896</v>
      </c>
      <c r="I6" s="8" t="str">
        <f>"4180,0"</f>
        <v>4180,0</v>
      </c>
      <c r="J6" s="9" t="str">
        <f>"43,9075"</f>
        <v>43,9075</v>
      </c>
      <c r="K6" s="8" t="s">
        <v>49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  <row r="17" spans="1:5" s="4" customFormat="1" ht="15">
      <c r="A17" s="11" t="s">
        <v>61</v>
      </c>
      <c r="B17" s="11"/>
      <c r="C17" s="5"/>
      <c r="D17" s="5"/>
      <c r="E17" s="5"/>
    </row>
    <row r="18" spans="1:5" s="4" customFormat="1" ht="14.25">
      <c r="A18" s="13"/>
      <c r="B18" s="14" t="s">
        <v>62</v>
      </c>
      <c r="C18" s="5"/>
      <c r="D18" s="5"/>
      <c r="E18" s="5"/>
    </row>
    <row r="19" spans="1:5" s="4" customFormat="1" ht="15">
      <c r="A19" s="15" t="s">
        <v>63</v>
      </c>
      <c r="B19" s="15" t="s">
        <v>64</v>
      </c>
      <c r="C19" s="15" t="s">
        <v>65</v>
      </c>
      <c r="D19" s="15" t="s">
        <v>66</v>
      </c>
      <c r="E19" s="15" t="s">
        <v>895</v>
      </c>
    </row>
    <row r="20" spans="1:5" s="4" customFormat="1" ht="12.75">
      <c r="A20" s="12" t="s">
        <v>894</v>
      </c>
      <c r="B20" s="5" t="s">
        <v>62</v>
      </c>
      <c r="C20" s="5" t="s">
        <v>893</v>
      </c>
      <c r="D20" s="5" t="s">
        <v>892</v>
      </c>
      <c r="E20" s="16" t="s">
        <v>891</v>
      </c>
    </row>
  </sheetData>
  <sheetProtection/>
  <mergeCells count="12"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4" width="10.625" style="5" bestFit="1" customWidth="1"/>
    <col min="5" max="5" width="22.75390625" style="5" bestFit="1" customWidth="1"/>
    <col min="6" max="6" width="33.375" style="5" bestFit="1" customWidth="1"/>
    <col min="7" max="7" width="5.625" style="4" bestFit="1" customWidth="1"/>
    <col min="8" max="8" width="4.625" style="51" bestFit="1" customWidth="1"/>
    <col min="9" max="9" width="7.875" style="5" bestFit="1" customWidth="1"/>
    <col min="10" max="10" width="7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907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 t="s">
        <v>901</v>
      </c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5" spans="1:10" ht="15">
      <c r="A5" s="38" t="s">
        <v>900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ht="12.75">
      <c r="A6" s="8" t="s">
        <v>906</v>
      </c>
      <c r="B6" s="8" t="s">
        <v>723</v>
      </c>
      <c r="C6" s="8" t="s">
        <v>724</v>
      </c>
      <c r="D6" s="8" t="str">
        <f>"1,0000"</f>
        <v>1,0000</v>
      </c>
      <c r="E6" s="8" t="s">
        <v>25</v>
      </c>
      <c r="F6" s="8" t="s">
        <v>397</v>
      </c>
      <c r="G6" s="9" t="s">
        <v>143</v>
      </c>
      <c r="H6" s="53" t="s">
        <v>905</v>
      </c>
      <c r="I6" s="8" t="str">
        <f>"1120,0"</f>
        <v>1120,0</v>
      </c>
      <c r="J6" s="9" t="str">
        <f>"20,2531"</f>
        <v>20,2531</v>
      </c>
      <c r="K6" s="8" t="s">
        <v>49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  <row r="17" spans="1:5" s="4" customFormat="1" ht="15">
      <c r="A17" s="11" t="s">
        <v>245</v>
      </c>
      <c r="B17" s="11"/>
      <c r="C17" s="5"/>
      <c r="D17" s="5"/>
      <c r="E17" s="5"/>
    </row>
    <row r="18" spans="1:5" s="4" customFormat="1" ht="14.25">
      <c r="A18" s="13"/>
      <c r="B18" s="14" t="s">
        <v>62</v>
      </c>
      <c r="C18" s="5"/>
      <c r="D18" s="5"/>
      <c r="E18" s="5"/>
    </row>
    <row r="19" spans="1:5" s="4" customFormat="1" ht="15">
      <c r="A19" s="15" t="s">
        <v>63</v>
      </c>
      <c r="B19" s="15" t="s">
        <v>64</v>
      </c>
      <c r="C19" s="15" t="s">
        <v>65</v>
      </c>
      <c r="D19" s="15" t="s">
        <v>66</v>
      </c>
      <c r="E19" s="15" t="s">
        <v>895</v>
      </c>
    </row>
    <row r="20" spans="1:5" s="4" customFormat="1" ht="12.75">
      <c r="A20" s="12" t="s">
        <v>721</v>
      </c>
      <c r="B20" s="5" t="s">
        <v>62</v>
      </c>
      <c r="C20" s="5" t="s">
        <v>893</v>
      </c>
      <c r="D20" s="5" t="s">
        <v>904</v>
      </c>
      <c r="E20" s="16" t="s">
        <v>903</v>
      </c>
    </row>
  </sheetData>
  <sheetProtection/>
  <mergeCells count="12"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5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908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/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6" ht="15">
      <c r="E6" s="6" t="s">
        <v>12</v>
      </c>
    </row>
    <row r="7" ht="15">
      <c r="E7" s="6" t="s">
        <v>13</v>
      </c>
    </row>
    <row r="8" ht="15">
      <c r="E8" s="6" t="s">
        <v>14</v>
      </c>
    </row>
    <row r="9" ht="15">
      <c r="E9" s="6" t="s">
        <v>15</v>
      </c>
    </row>
    <row r="10" ht="15">
      <c r="E10" s="6" t="s">
        <v>15</v>
      </c>
    </row>
    <row r="11" ht="15">
      <c r="E11" s="6" t="s">
        <v>16</v>
      </c>
    </row>
    <row r="12" ht="15">
      <c r="E12" s="6"/>
    </row>
    <row r="14" spans="1:2" ht="18">
      <c r="A14" s="7" t="s">
        <v>17</v>
      </c>
      <c r="B14" s="7"/>
    </row>
  </sheetData>
  <sheetProtection/>
  <mergeCells count="11">
    <mergeCell ref="F3:F4"/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4" width="10.625" style="5" bestFit="1" customWidth="1"/>
    <col min="5" max="5" width="22.75390625" style="5" bestFit="1" customWidth="1"/>
    <col min="6" max="6" width="29.375" style="5" bestFit="1" customWidth="1"/>
    <col min="7" max="7" width="6.625" style="4" bestFit="1" customWidth="1"/>
    <col min="8" max="8" width="4.625" style="51" bestFit="1" customWidth="1"/>
    <col min="9" max="9" width="7.875" style="5" bestFit="1" customWidth="1"/>
    <col min="10" max="10" width="7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917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 t="s">
        <v>901</v>
      </c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5" spans="1:10" ht="15">
      <c r="A5" s="38" t="s">
        <v>900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ht="12.75">
      <c r="A6" s="8" t="s">
        <v>916</v>
      </c>
      <c r="B6" s="8" t="s">
        <v>915</v>
      </c>
      <c r="C6" s="8" t="s">
        <v>914</v>
      </c>
      <c r="D6" s="8" t="str">
        <f>"1,0000"</f>
        <v>1,0000</v>
      </c>
      <c r="E6" s="8" t="s">
        <v>25</v>
      </c>
      <c r="F6" s="8" t="s">
        <v>913</v>
      </c>
      <c r="G6" s="9" t="s">
        <v>164</v>
      </c>
      <c r="H6" s="53" t="s">
        <v>912</v>
      </c>
      <c r="I6" s="8" t="str">
        <f>"3250,0"</f>
        <v>3250,0</v>
      </c>
      <c r="J6" s="9" t="str">
        <f>"34,0670"</f>
        <v>34,0670</v>
      </c>
      <c r="K6" s="8" t="s">
        <v>49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  <row r="17" spans="1:5" s="4" customFormat="1" ht="15">
      <c r="A17" s="11" t="s">
        <v>61</v>
      </c>
      <c r="B17" s="11"/>
      <c r="C17" s="5"/>
      <c r="D17" s="5"/>
      <c r="E17" s="5"/>
    </row>
    <row r="18" spans="1:5" s="4" customFormat="1" ht="14.25">
      <c r="A18" s="13"/>
      <c r="B18" s="14" t="s">
        <v>62</v>
      </c>
      <c r="C18" s="5"/>
      <c r="D18" s="5"/>
      <c r="E18" s="5"/>
    </row>
    <row r="19" spans="1:5" s="4" customFormat="1" ht="15">
      <c r="A19" s="15" t="s">
        <v>63</v>
      </c>
      <c r="B19" s="15" t="s">
        <v>64</v>
      </c>
      <c r="C19" s="15" t="s">
        <v>65</v>
      </c>
      <c r="D19" s="15" t="s">
        <v>66</v>
      </c>
      <c r="E19" s="15" t="s">
        <v>895</v>
      </c>
    </row>
    <row r="20" spans="1:5" s="4" customFormat="1" ht="12.75">
      <c r="A20" s="12" t="s">
        <v>911</v>
      </c>
      <c r="B20" s="5" t="s">
        <v>62</v>
      </c>
      <c r="C20" s="5" t="s">
        <v>893</v>
      </c>
      <c r="D20" s="5" t="s">
        <v>910</v>
      </c>
      <c r="E20" s="16" t="s">
        <v>909</v>
      </c>
    </row>
  </sheetData>
  <sheetProtection/>
  <mergeCells count="12"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4" width="10.625" style="5" bestFit="1" customWidth="1"/>
    <col min="5" max="5" width="22.75390625" style="5" bestFit="1" customWidth="1"/>
    <col min="6" max="6" width="29.75390625" style="5" bestFit="1" customWidth="1"/>
    <col min="7" max="7" width="6.625" style="4" bestFit="1" customWidth="1"/>
    <col min="8" max="8" width="4.625" style="51" bestFit="1" customWidth="1"/>
    <col min="9" max="9" width="7.875" style="5" bestFit="1" customWidth="1"/>
    <col min="10" max="10" width="7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936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 t="s">
        <v>901</v>
      </c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5" spans="1:10" ht="15">
      <c r="A5" s="38" t="s">
        <v>900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ht="12.75">
      <c r="A6" s="17" t="s">
        <v>935</v>
      </c>
      <c r="B6" s="17" t="s">
        <v>934</v>
      </c>
      <c r="C6" s="17" t="s">
        <v>933</v>
      </c>
      <c r="D6" s="17" t="str">
        <f>"1,0000"</f>
        <v>1,0000</v>
      </c>
      <c r="E6" s="17" t="s">
        <v>25</v>
      </c>
      <c r="F6" s="17" t="s">
        <v>26</v>
      </c>
      <c r="G6" s="18" t="s">
        <v>74</v>
      </c>
      <c r="H6" s="56" t="s">
        <v>932</v>
      </c>
      <c r="I6" s="17" t="str">
        <f>"2100,0"</f>
        <v>2100,0</v>
      </c>
      <c r="J6" s="18" t="str">
        <f>"17,2131"</f>
        <v>17,2131</v>
      </c>
      <c r="K6" s="17" t="s">
        <v>931</v>
      </c>
    </row>
    <row r="7" spans="1:11" ht="12.75">
      <c r="A7" s="23" t="s">
        <v>930</v>
      </c>
      <c r="B7" s="23" t="s">
        <v>929</v>
      </c>
      <c r="C7" s="23" t="s">
        <v>673</v>
      </c>
      <c r="D7" s="23" t="str">
        <f>"1,0000"</f>
        <v>1,0000</v>
      </c>
      <c r="E7" s="23" t="s">
        <v>25</v>
      </c>
      <c r="F7" s="23" t="s">
        <v>138</v>
      </c>
      <c r="G7" s="24" t="s">
        <v>74</v>
      </c>
      <c r="H7" s="55"/>
      <c r="I7" s="23" t="str">
        <f>"0.00"</f>
        <v>0.00</v>
      </c>
      <c r="J7" s="25" t="str">
        <f>"0,0000"</f>
        <v>0,0000</v>
      </c>
      <c r="K7" s="23" t="s">
        <v>49</v>
      </c>
    </row>
    <row r="8" spans="1:11" ht="12.75">
      <c r="A8" s="20" t="s">
        <v>928</v>
      </c>
      <c r="B8" s="20" t="s">
        <v>927</v>
      </c>
      <c r="C8" s="20" t="s">
        <v>926</v>
      </c>
      <c r="D8" s="20" t="str">
        <f>"1,0000"</f>
        <v>1,0000</v>
      </c>
      <c r="E8" s="20" t="s">
        <v>25</v>
      </c>
      <c r="F8" s="20" t="s">
        <v>26</v>
      </c>
      <c r="G8" s="21" t="s">
        <v>160</v>
      </c>
      <c r="H8" s="54" t="s">
        <v>925</v>
      </c>
      <c r="I8" s="20" t="str">
        <f>"4300,0"</f>
        <v>4300,0</v>
      </c>
      <c r="J8" s="21" t="str">
        <f>"39,8886"</f>
        <v>39,8886</v>
      </c>
      <c r="K8" s="20" t="s">
        <v>49</v>
      </c>
    </row>
    <row r="10" ht="15">
      <c r="E10" s="6" t="s">
        <v>12</v>
      </c>
    </row>
    <row r="11" ht="15">
      <c r="E11" s="6" t="s">
        <v>13</v>
      </c>
    </row>
    <row r="12" ht="15">
      <c r="E12" s="6" t="s">
        <v>14</v>
      </c>
    </row>
    <row r="13" ht="15">
      <c r="E13" s="6" t="s">
        <v>15</v>
      </c>
    </row>
    <row r="14" ht="15">
      <c r="E14" s="6" t="s">
        <v>15</v>
      </c>
    </row>
    <row r="15" ht="15">
      <c r="E15" s="6" t="s">
        <v>16</v>
      </c>
    </row>
    <row r="16" ht="15">
      <c r="E16" s="6"/>
    </row>
    <row r="18" spans="1:5" s="4" customFormat="1" ht="18">
      <c r="A18" s="7" t="s">
        <v>17</v>
      </c>
      <c r="B18" s="7"/>
      <c r="C18" s="5"/>
      <c r="D18" s="5"/>
      <c r="E18" s="5"/>
    </row>
    <row r="19" spans="1:5" s="4" customFormat="1" ht="15">
      <c r="A19" s="11" t="s">
        <v>61</v>
      </c>
      <c r="B19" s="11"/>
      <c r="C19" s="5"/>
      <c r="D19" s="5"/>
      <c r="E19" s="5"/>
    </row>
    <row r="20" spans="1:5" s="4" customFormat="1" ht="14.25">
      <c r="A20" s="13"/>
      <c r="B20" s="14" t="s">
        <v>62</v>
      </c>
      <c r="C20" s="5"/>
      <c r="D20" s="5"/>
      <c r="E20" s="5"/>
    </row>
    <row r="21" spans="1:5" s="4" customFormat="1" ht="15">
      <c r="A21" s="15" t="s">
        <v>63</v>
      </c>
      <c r="B21" s="15" t="s">
        <v>64</v>
      </c>
      <c r="C21" s="15" t="s">
        <v>65</v>
      </c>
      <c r="D21" s="15" t="s">
        <v>66</v>
      </c>
      <c r="E21" s="15" t="s">
        <v>895</v>
      </c>
    </row>
    <row r="22" spans="1:5" s="4" customFormat="1" ht="12.75">
      <c r="A22" s="12" t="s">
        <v>924</v>
      </c>
      <c r="B22" s="5" t="s">
        <v>62</v>
      </c>
      <c r="C22" s="5" t="s">
        <v>893</v>
      </c>
      <c r="D22" s="5" t="s">
        <v>923</v>
      </c>
      <c r="E22" s="16" t="s">
        <v>922</v>
      </c>
    </row>
    <row r="24" spans="1:5" s="4" customFormat="1" ht="14.25">
      <c r="A24" s="13"/>
      <c r="B24" s="14" t="s">
        <v>268</v>
      </c>
      <c r="C24" s="5"/>
      <c r="D24" s="5"/>
      <c r="E24" s="5"/>
    </row>
    <row r="25" spans="1:5" s="4" customFormat="1" ht="15">
      <c r="A25" s="15" t="s">
        <v>63</v>
      </c>
      <c r="B25" s="15" t="s">
        <v>64</v>
      </c>
      <c r="C25" s="15" t="s">
        <v>65</v>
      </c>
      <c r="D25" s="15" t="s">
        <v>66</v>
      </c>
      <c r="E25" s="15" t="s">
        <v>895</v>
      </c>
    </row>
    <row r="26" spans="1:5" s="4" customFormat="1" ht="12.75">
      <c r="A26" s="12" t="s">
        <v>921</v>
      </c>
      <c r="B26" s="5" t="s">
        <v>920</v>
      </c>
      <c r="C26" s="5" t="s">
        <v>893</v>
      </c>
      <c r="D26" s="5" t="s">
        <v>919</v>
      </c>
      <c r="E26" s="16" t="s">
        <v>918</v>
      </c>
    </row>
  </sheetData>
  <sheetProtection/>
  <mergeCells count="12"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5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937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/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6" ht="15">
      <c r="E6" s="6" t="s">
        <v>12</v>
      </c>
    </row>
    <row r="7" ht="15">
      <c r="E7" s="6" t="s">
        <v>13</v>
      </c>
    </row>
    <row r="8" ht="15">
      <c r="E8" s="6" t="s">
        <v>14</v>
      </c>
    </row>
    <row r="9" ht="15">
      <c r="E9" s="6" t="s">
        <v>15</v>
      </c>
    </row>
    <row r="10" ht="15">
      <c r="E10" s="6" t="s">
        <v>15</v>
      </c>
    </row>
    <row r="11" ht="15">
      <c r="E11" s="6" t="s">
        <v>16</v>
      </c>
    </row>
    <row r="12" ht="15">
      <c r="E12" s="6"/>
    </row>
    <row r="14" spans="1:2" ht="18">
      <c r="A14" s="7" t="s">
        <v>17</v>
      </c>
      <c r="B14" s="7"/>
    </row>
  </sheetData>
  <sheetProtection/>
  <mergeCells count="11">
    <mergeCell ref="F3:F4"/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4" width="10.625" style="5" bestFit="1" customWidth="1"/>
    <col min="5" max="5" width="22.75390625" style="5" bestFit="1" customWidth="1"/>
    <col min="6" max="6" width="20.875" style="5" bestFit="1" customWidth="1"/>
    <col min="7" max="7" width="4.625" style="4" bestFit="1" customWidth="1"/>
    <col min="8" max="8" width="4.625" style="51" bestFit="1" customWidth="1"/>
    <col min="9" max="9" width="7.875" style="5" bestFit="1" customWidth="1"/>
    <col min="10" max="10" width="7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943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 t="s">
        <v>901</v>
      </c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5" spans="1:10" ht="15">
      <c r="A5" s="38" t="s">
        <v>900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ht="12.75">
      <c r="A6" s="8" t="s">
        <v>337</v>
      </c>
      <c r="B6" s="8" t="s">
        <v>942</v>
      </c>
      <c r="C6" s="8" t="s">
        <v>339</v>
      </c>
      <c r="D6" s="8" t="str">
        <f>"1,0000"</f>
        <v>1,0000</v>
      </c>
      <c r="E6" s="8" t="s">
        <v>25</v>
      </c>
      <c r="F6" s="8" t="s">
        <v>340</v>
      </c>
      <c r="G6" s="9" t="s">
        <v>178</v>
      </c>
      <c r="H6" s="53" t="s">
        <v>941</v>
      </c>
      <c r="I6" s="8" t="str">
        <f>"1980,0"</f>
        <v>1980,0</v>
      </c>
      <c r="J6" s="9" t="str">
        <f>"22,0000"</f>
        <v>22,0000</v>
      </c>
      <c r="K6" s="8" t="s">
        <v>49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  <row r="17" spans="1:5" s="4" customFormat="1" ht="15">
      <c r="A17" s="11" t="s">
        <v>61</v>
      </c>
      <c r="B17" s="11"/>
      <c r="C17" s="5"/>
      <c r="D17" s="5"/>
      <c r="E17" s="5"/>
    </row>
    <row r="18" spans="1:5" s="4" customFormat="1" ht="14.25">
      <c r="A18" s="13"/>
      <c r="B18" s="14" t="s">
        <v>268</v>
      </c>
      <c r="C18" s="5"/>
      <c r="D18" s="5"/>
      <c r="E18" s="5"/>
    </row>
    <row r="19" spans="1:5" s="4" customFormat="1" ht="15">
      <c r="A19" s="15" t="s">
        <v>63</v>
      </c>
      <c r="B19" s="15" t="s">
        <v>64</v>
      </c>
      <c r="C19" s="15" t="s">
        <v>65</v>
      </c>
      <c r="D19" s="15" t="s">
        <v>66</v>
      </c>
      <c r="E19" s="15" t="s">
        <v>895</v>
      </c>
    </row>
    <row r="20" spans="1:5" s="4" customFormat="1" ht="12.75">
      <c r="A20" s="12" t="s">
        <v>336</v>
      </c>
      <c r="B20" s="5" t="s">
        <v>940</v>
      </c>
      <c r="C20" s="5" t="s">
        <v>893</v>
      </c>
      <c r="D20" s="5" t="s">
        <v>939</v>
      </c>
      <c r="E20" s="16" t="s">
        <v>938</v>
      </c>
    </row>
  </sheetData>
  <sheetProtection/>
  <mergeCells count="12"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9.75390625" style="5" bestFit="1" customWidth="1"/>
    <col min="4" max="4" width="6.625" style="5" bestFit="1" customWidth="1"/>
    <col min="5" max="5" width="22.75390625" style="5" bestFit="1" customWidth="1"/>
    <col min="6" max="6" width="17.25390625" style="5" bestFit="1" customWidth="1"/>
    <col min="7" max="7" width="2.125" style="4" bestFit="1" customWidth="1"/>
    <col min="8" max="8" width="2.125" style="51" bestFit="1" customWidth="1"/>
    <col min="9" max="9" width="7.875" style="5" bestFit="1" customWidth="1"/>
    <col min="10" max="10" width="6.37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944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/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6" ht="15">
      <c r="E6" s="6" t="s">
        <v>12</v>
      </c>
    </row>
    <row r="7" ht="15">
      <c r="E7" s="6" t="s">
        <v>13</v>
      </c>
    </row>
    <row r="8" ht="15">
      <c r="E8" s="6" t="s">
        <v>14</v>
      </c>
    </row>
    <row r="9" ht="15">
      <c r="E9" s="6" t="s">
        <v>15</v>
      </c>
    </row>
    <row r="10" ht="15">
      <c r="E10" s="6" t="s">
        <v>15</v>
      </c>
    </row>
    <row r="11" ht="15">
      <c r="E11" s="6" t="s">
        <v>16</v>
      </c>
    </row>
    <row r="12" ht="15">
      <c r="E12" s="6"/>
    </row>
    <row r="14" spans="1:2" ht="18">
      <c r="A14" s="7" t="s">
        <v>17</v>
      </c>
      <c r="B14" s="7"/>
    </row>
  </sheetData>
  <sheetProtection/>
  <mergeCells count="11">
    <mergeCell ref="J3:J4"/>
    <mergeCell ref="A1:K2"/>
    <mergeCell ref="G3:H3"/>
    <mergeCell ref="A3:A4"/>
    <mergeCell ref="B3:B4"/>
    <mergeCell ref="C3:C4"/>
    <mergeCell ref="K3:K4"/>
    <mergeCell ref="F3:F4"/>
    <mergeCell ref="E3:E4"/>
    <mergeCell ref="D3:D4"/>
    <mergeCell ref="I3:I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5.625" style="5" bestFit="1" customWidth="1"/>
    <col min="7" max="9" width="5.625" style="4" bestFit="1" customWidth="1"/>
    <col min="10" max="10" width="4.875" style="4" bestFit="1" customWidth="1"/>
    <col min="11" max="11" width="7.875" style="5" bestFit="1" customWidth="1"/>
    <col min="12" max="12" width="7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40" t="s">
        <v>863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1</v>
      </c>
      <c r="H3" s="34"/>
      <c r="I3" s="34"/>
      <c r="J3" s="34"/>
      <c r="K3" s="34" t="s">
        <v>295</v>
      </c>
      <c r="L3" s="34" t="s">
        <v>6</v>
      </c>
      <c r="M3" s="36" t="s">
        <v>5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5"/>
      <c r="M4" s="37"/>
    </row>
    <row r="5" spans="1:12" ht="15">
      <c r="A5" s="38" t="s">
        <v>434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2.75">
      <c r="A6" s="8" t="s">
        <v>436</v>
      </c>
      <c r="B6" s="8" t="s">
        <v>437</v>
      </c>
      <c r="C6" s="8" t="s">
        <v>438</v>
      </c>
      <c r="D6" s="8" t="str">
        <f>"0,5898"</f>
        <v>0,5898</v>
      </c>
      <c r="E6" s="8" t="s">
        <v>25</v>
      </c>
      <c r="F6" s="8" t="s">
        <v>439</v>
      </c>
      <c r="G6" s="9" t="s">
        <v>342</v>
      </c>
      <c r="H6" s="10" t="s">
        <v>242</v>
      </c>
      <c r="I6" s="9" t="s">
        <v>242</v>
      </c>
      <c r="J6" s="10"/>
      <c r="K6" s="8" t="str">
        <f>"140,0"</f>
        <v>140,0</v>
      </c>
      <c r="L6" s="9" t="str">
        <f>"82,5720"</f>
        <v>82,5720</v>
      </c>
      <c r="M6" s="8" t="s">
        <v>49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  <row r="17" spans="1:2" ht="15">
      <c r="A17" s="11" t="s">
        <v>245</v>
      </c>
      <c r="B17" s="11"/>
    </row>
    <row r="18" spans="1:2" ht="14.25">
      <c r="A18" s="13"/>
      <c r="B18" s="14" t="s">
        <v>62</v>
      </c>
    </row>
    <row r="19" spans="1:5" ht="15">
      <c r="A19" s="15" t="s">
        <v>63</v>
      </c>
      <c r="B19" s="15" t="s">
        <v>64</v>
      </c>
      <c r="C19" s="15" t="s">
        <v>65</v>
      </c>
      <c r="D19" s="15" t="s">
        <v>66</v>
      </c>
      <c r="E19" s="15" t="s">
        <v>67</v>
      </c>
    </row>
    <row r="20" spans="1:5" ht="12.75">
      <c r="A20" s="12" t="s">
        <v>435</v>
      </c>
      <c r="B20" s="5" t="s">
        <v>62</v>
      </c>
      <c r="C20" s="5" t="s">
        <v>572</v>
      </c>
      <c r="D20" s="5" t="s">
        <v>242</v>
      </c>
      <c r="E20" s="16" t="s">
        <v>864</v>
      </c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10.75390625" style="5" bestFit="1" customWidth="1"/>
    <col min="5" max="5" width="22.75390625" style="5" bestFit="1" customWidth="1"/>
    <col min="6" max="6" width="29.75390625" style="5" bestFit="1" customWidth="1"/>
    <col min="7" max="7" width="4.625" style="4" bestFit="1" customWidth="1"/>
    <col min="8" max="8" width="4.625" style="51" bestFit="1" customWidth="1"/>
    <col min="9" max="9" width="7.875" style="5" bestFit="1" customWidth="1"/>
    <col min="10" max="10" width="9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952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 t="s">
        <v>951</v>
      </c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5" spans="1:10" ht="15">
      <c r="A5" s="38" t="s">
        <v>155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ht="12.75">
      <c r="A6" s="8" t="s">
        <v>950</v>
      </c>
      <c r="B6" s="8" t="s">
        <v>949</v>
      </c>
      <c r="C6" s="8" t="s">
        <v>948</v>
      </c>
      <c r="D6" s="8" t="str">
        <f>"0,9536"</f>
        <v>0,9536</v>
      </c>
      <c r="E6" s="8" t="s">
        <v>25</v>
      </c>
      <c r="F6" s="8" t="s">
        <v>26</v>
      </c>
      <c r="G6" s="9" t="s">
        <v>117</v>
      </c>
      <c r="H6" s="53" t="s">
        <v>403</v>
      </c>
      <c r="I6" s="8" t="str">
        <f>"1350,0"</f>
        <v>1350,0</v>
      </c>
      <c r="J6" s="9"/>
      <c r="K6" s="8" t="s">
        <v>49</v>
      </c>
    </row>
    <row r="7" spans="1:10" ht="15">
      <c r="A7" s="49" t="s">
        <v>20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2.75">
      <c r="A8" s="20" t="s">
        <v>337</v>
      </c>
      <c r="B8" s="20" t="s">
        <v>338</v>
      </c>
      <c r="C8" s="20" t="s">
        <v>339</v>
      </c>
      <c r="D8" s="20" t="str">
        <f>"0,7137"</f>
        <v>0,7137</v>
      </c>
      <c r="E8" s="20" t="s">
        <v>25</v>
      </c>
      <c r="F8" s="20" t="s">
        <v>340</v>
      </c>
      <c r="G8" s="31" t="s">
        <v>947</v>
      </c>
      <c r="H8" s="54" t="s">
        <v>946</v>
      </c>
      <c r="I8" s="30" t="s">
        <v>945</v>
      </c>
      <c r="J8" s="21"/>
    </row>
    <row r="9" spans="1:5" ht="15">
      <c r="A9" s="33"/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15</v>
      </c>
    </row>
    <row r="13" ht="15">
      <c r="E13" s="6" t="s">
        <v>15</v>
      </c>
    </row>
    <row r="14" ht="15">
      <c r="E14" s="6" t="s">
        <v>16</v>
      </c>
    </row>
    <row r="15" ht="15">
      <c r="E15" s="6"/>
    </row>
    <row r="17" spans="1:5" s="4" customFormat="1" ht="18">
      <c r="A17" s="5"/>
      <c r="B17" s="7"/>
      <c r="C17" s="5"/>
      <c r="D17" s="5"/>
      <c r="E17" s="5"/>
    </row>
    <row r="18" spans="1:5" s="4" customFormat="1" ht="18">
      <c r="A18" s="7"/>
      <c r="B18" s="11"/>
      <c r="C18" s="5"/>
      <c r="D18" s="5"/>
      <c r="E18" s="5"/>
    </row>
    <row r="19" spans="1:5" s="4" customFormat="1" ht="15">
      <c r="A19" s="11"/>
      <c r="B19" s="14"/>
      <c r="C19" s="5"/>
      <c r="D19" s="5"/>
      <c r="E19" s="5"/>
    </row>
    <row r="20" spans="1:5" s="4" customFormat="1" ht="15">
      <c r="A20" s="13"/>
      <c r="B20" s="15"/>
      <c r="C20" s="15"/>
      <c r="D20" s="15"/>
      <c r="E20" s="15"/>
    </row>
    <row r="21" spans="1:5" s="4" customFormat="1" ht="15">
      <c r="A21" s="15"/>
      <c r="B21" s="5"/>
      <c r="C21" s="5"/>
      <c r="D21" s="5"/>
      <c r="E21" s="16"/>
    </row>
    <row r="22" spans="1:5" s="4" customFormat="1" ht="12.75">
      <c r="A22" s="12"/>
      <c r="B22" s="5"/>
      <c r="C22" s="5"/>
      <c r="D22" s="5"/>
      <c r="E22" s="5"/>
    </row>
  </sheetData>
  <sheetProtection/>
  <mergeCells count="13">
    <mergeCell ref="A7:J7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2">
      <selection activeCell="F36" sqref="F36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10.75390625" style="5" bestFit="1" customWidth="1"/>
    <col min="5" max="5" width="22.75390625" style="5" bestFit="1" customWidth="1"/>
    <col min="6" max="6" width="32.625" style="5" bestFit="1" customWidth="1"/>
    <col min="7" max="7" width="5.625" style="4" bestFit="1" customWidth="1"/>
    <col min="8" max="8" width="5.625" style="51" bestFit="1" customWidth="1"/>
    <col min="9" max="9" width="7.875" style="5" bestFit="1" customWidth="1"/>
    <col min="10" max="10" width="9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992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 t="s">
        <v>951</v>
      </c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5" spans="1:10" ht="15">
      <c r="A5" s="38" t="s">
        <v>188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ht="12.75">
      <c r="A6" s="8" t="s">
        <v>304</v>
      </c>
      <c r="B6" s="8" t="s">
        <v>991</v>
      </c>
      <c r="C6" s="8" t="s">
        <v>306</v>
      </c>
      <c r="D6" s="8" t="str">
        <f>"0,8198"</f>
        <v>0,8198</v>
      </c>
      <c r="E6" s="8" t="s">
        <v>25</v>
      </c>
      <c r="F6" s="8" t="s">
        <v>307</v>
      </c>
      <c r="G6" s="9" t="s">
        <v>990</v>
      </c>
      <c r="H6" s="53" t="s">
        <v>989</v>
      </c>
      <c r="I6" s="8" t="str">
        <f>"3045,0"</f>
        <v>3045,0</v>
      </c>
      <c r="J6" s="9" t="str">
        <f>"2496,2911"</f>
        <v>2496,2911</v>
      </c>
      <c r="K6" s="8" t="s">
        <v>49</v>
      </c>
    </row>
    <row r="8" spans="1:10" ht="15">
      <c r="A8" s="49" t="s">
        <v>180</v>
      </c>
      <c r="B8" s="50"/>
      <c r="C8" s="50"/>
      <c r="D8" s="50"/>
      <c r="E8" s="50"/>
      <c r="F8" s="50"/>
      <c r="G8" s="50"/>
      <c r="H8" s="50"/>
      <c r="I8" s="50"/>
      <c r="J8" s="50"/>
    </row>
    <row r="9" spans="1:11" ht="12.75">
      <c r="A9" s="8" t="s">
        <v>988</v>
      </c>
      <c r="B9" s="8" t="s">
        <v>987</v>
      </c>
      <c r="C9" s="8" t="s">
        <v>986</v>
      </c>
      <c r="D9" s="8" t="str">
        <f>"0,8211"</f>
        <v>0,8211</v>
      </c>
      <c r="E9" s="8" t="s">
        <v>25</v>
      </c>
      <c r="F9" s="8" t="s">
        <v>26</v>
      </c>
      <c r="G9" s="9" t="s">
        <v>985</v>
      </c>
      <c r="H9" s="53" t="s">
        <v>970</v>
      </c>
      <c r="I9" s="8" t="str">
        <f>"2247,5"</f>
        <v>2247,5</v>
      </c>
      <c r="J9" s="9" t="str">
        <f>"1845,4222"</f>
        <v>1845,4222</v>
      </c>
      <c r="K9" s="8" t="s">
        <v>49</v>
      </c>
    </row>
    <row r="11" spans="1:10" ht="15">
      <c r="A11" s="49" t="s">
        <v>20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1" ht="12.75">
      <c r="A12" s="17" t="s">
        <v>984</v>
      </c>
      <c r="B12" s="17" t="s">
        <v>983</v>
      </c>
      <c r="C12" s="17" t="s">
        <v>339</v>
      </c>
      <c r="D12" s="17" t="str">
        <f>"0,7137"</f>
        <v>0,7137</v>
      </c>
      <c r="E12" s="17" t="s">
        <v>25</v>
      </c>
      <c r="F12" s="17" t="s">
        <v>913</v>
      </c>
      <c r="G12" s="18" t="s">
        <v>105</v>
      </c>
      <c r="H12" s="56" t="s">
        <v>982</v>
      </c>
      <c r="I12" s="17" t="str">
        <f>"4410,0"</f>
        <v>4410,0</v>
      </c>
      <c r="J12" s="18" t="str">
        <f>"3147,4170"</f>
        <v>3147,4170</v>
      </c>
      <c r="K12" s="17" t="s">
        <v>49</v>
      </c>
    </row>
    <row r="13" spans="1:11" ht="12.75">
      <c r="A13" s="23" t="s">
        <v>671</v>
      </c>
      <c r="B13" s="23" t="s">
        <v>672</v>
      </c>
      <c r="C13" s="23" t="s">
        <v>673</v>
      </c>
      <c r="D13" s="23" t="str">
        <f>"0,7333"</f>
        <v>0,7333</v>
      </c>
      <c r="E13" s="23" t="s">
        <v>25</v>
      </c>
      <c r="F13" s="23" t="s">
        <v>138</v>
      </c>
      <c r="G13" s="25" t="s">
        <v>105</v>
      </c>
      <c r="H13" s="57" t="s">
        <v>981</v>
      </c>
      <c r="I13" s="23" t="str">
        <f>"1440,0"</f>
        <v>1440,0</v>
      </c>
      <c r="J13" s="25" t="str">
        <f>"1055,9520"</f>
        <v>1055,9520</v>
      </c>
      <c r="K13" s="23" t="s">
        <v>49</v>
      </c>
    </row>
    <row r="14" spans="1:11" ht="12.75">
      <c r="A14" s="20"/>
      <c r="B14" s="20"/>
      <c r="C14" s="20"/>
      <c r="D14" s="20"/>
      <c r="E14" s="20"/>
      <c r="F14" s="20"/>
      <c r="G14" s="21"/>
      <c r="H14" s="54"/>
      <c r="I14" s="20"/>
      <c r="J14" s="21"/>
      <c r="K14" s="20"/>
    </row>
    <row r="16" spans="1:10" ht="15">
      <c r="A16" s="49" t="s">
        <v>37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1" ht="12.75">
      <c r="A17" s="17" t="s">
        <v>980</v>
      </c>
      <c r="B17" s="17" t="s">
        <v>979</v>
      </c>
      <c r="C17" s="17" t="s">
        <v>978</v>
      </c>
      <c r="D17" s="17" t="str">
        <f>"0,7297"</f>
        <v>0,7297</v>
      </c>
      <c r="E17" s="17" t="s">
        <v>25</v>
      </c>
      <c r="F17" s="17" t="s">
        <v>26</v>
      </c>
      <c r="G17" s="18" t="s">
        <v>977</v>
      </c>
      <c r="H17" s="56" t="s">
        <v>976</v>
      </c>
      <c r="I17" s="17" t="str">
        <f>"3792,5"</f>
        <v>3792,5</v>
      </c>
      <c r="J17" s="18" t="str">
        <f>"2767,3874"</f>
        <v>2767,3874</v>
      </c>
      <c r="K17" s="17" t="s">
        <v>49</v>
      </c>
    </row>
    <row r="18" spans="1:11" ht="12.75">
      <c r="A18" s="23" t="s">
        <v>975</v>
      </c>
      <c r="B18" s="23" t="s">
        <v>974</v>
      </c>
      <c r="C18" s="23" t="s">
        <v>971</v>
      </c>
      <c r="D18" s="23" t="str">
        <f>"0,6967"</f>
        <v>0,6967</v>
      </c>
      <c r="E18" s="23" t="s">
        <v>25</v>
      </c>
      <c r="F18" s="23" t="s">
        <v>301</v>
      </c>
      <c r="G18" s="25" t="s">
        <v>130</v>
      </c>
      <c r="H18" s="57" t="s">
        <v>970</v>
      </c>
      <c r="I18" s="23" t="str">
        <f>"2755,0"</f>
        <v>2755,0</v>
      </c>
      <c r="J18" s="25" t="str">
        <f>"1919,4084"</f>
        <v>1919,4084</v>
      </c>
      <c r="K18" s="23" t="s">
        <v>49</v>
      </c>
    </row>
    <row r="19" spans="1:11" ht="12.75">
      <c r="A19" s="20" t="s">
        <v>973</v>
      </c>
      <c r="B19" s="20" t="s">
        <v>972</v>
      </c>
      <c r="C19" s="20" t="s">
        <v>971</v>
      </c>
      <c r="D19" s="20" t="str">
        <f>"0,6967"</f>
        <v>0,6967</v>
      </c>
      <c r="E19" s="20" t="s">
        <v>25</v>
      </c>
      <c r="F19" s="20" t="s">
        <v>301</v>
      </c>
      <c r="G19" s="21" t="s">
        <v>130</v>
      </c>
      <c r="H19" s="54" t="s">
        <v>970</v>
      </c>
      <c r="I19" s="20" t="str">
        <f>"2755,0"</f>
        <v>2755,0</v>
      </c>
      <c r="J19" s="21" t="str">
        <f>"1919,4084"</f>
        <v>1919,4084</v>
      </c>
      <c r="K19" s="20" t="s">
        <v>49</v>
      </c>
    </row>
    <row r="21" ht="15">
      <c r="E21" s="6" t="s">
        <v>12</v>
      </c>
    </row>
    <row r="22" ht="15">
      <c r="E22" s="6" t="s">
        <v>13</v>
      </c>
    </row>
    <row r="23" ht="15">
      <c r="E23" s="6" t="s">
        <v>14</v>
      </c>
    </row>
    <row r="24" ht="15">
      <c r="E24" s="6" t="s">
        <v>15</v>
      </c>
    </row>
    <row r="25" ht="15">
      <c r="E25" s="6" t="s">
        <v>15</v>
      </c>
    </row>
    <row r="26" ht="15">
      <c r="E26" s="6" t="s">
        <v>16</v>
      </c>
    </row>
    <row r="27" ht="15">
      <c r="E27" s="6"/>
    </row>
    <row r="29" spans="1:2" ht="18">
      <c r="A29" s="7" t="s">
        <v>17</v>
      </c>
      <c r="B29" s="7"/>
    </row>
    <row r="30" spans="1:2" ht="15">
      <c r="A30" s="11" t="s">
        <v>61</v>
      </c>
      <c r="B30" s="11"/>
    </row>
    <row r="31" spans="1:2" ht="14.25">
      <c r="A31" s="13"/>
      <c r="B31" s="14" t="s">
        <v>62</v>
      </c>
    </row>
    <row r="32" spans="1:5" ht="15">
      <c r="A32" s="15" t="s">
        <v>63</v>
      </c>
      <c r="B32" s="15" t="s">
        <v>64</v>
      </c>
      <c r="C32" s="15" t="s">
        <v>65</v>
      </c>
      <c r="D32" s="15" t="s">
        <v>66</v>
      </c>
      <c r="E32" s="15" t="s">
        <v>961</v>
      </c>
    </row>
    <row r="33" spans="1:5" s="4" customFormat="1" ht="12.75">
      <c r="A33" s="12" t="s">
        <v>969</v>
      </c>
      <c r="B33" s="5" t="s">
        <v>62</v>
      </c>
      <c r="C33" s="5" t="s">
        <v>71</v>
      </c>
      <c r="D33" s="5" t="s">
        <v>968</v>
      </c>
      <c r="E33" s="16" t="s">
        <v>967</v>
      </c>
    </row>
    <row r="34" spans="1:5" s="4" customFormat="1" ht="12.75">
      <c r="A34" s="12" t="s">
        <v>966</v>
      </c>
      <c r="B34" s="5" t="s">
        <v>62</v>
      </c>
      <c r="C34" s="5" t="s">
        <v>74</v>
      </c>
      <c r="D34" s="5" t="s">
        <v>965</v>
      </c>
      <c r="E34" s="16" t="s">
        <v>964</v>
      </c>
    </row>
    <row r="35" spans="1:5" s="4" customFormat="1" ht="12.75">
      <c r="A35" s="12" t="s">
        <v>303</v>
      </c>
      <c r="B35" s="5" t="s">
        <v>62</v>
      </c>
      <c r="C35" s="5" t="s">
        <v>141</v>
      </c>
      <c r="D35" s="5" t="s">
        <v>963</v>
      </c>
      <c r="E35" s="16" t="s">
        <v>962</v>
      </c>
    </row>
    <row r="36" spans="1:5" s="4" customFormat="1" ht="12.75">
      <c r="A36" s="12" t="s">
        <v>960</v>
      </c>
      <c r="B36" s="5" t="s">
        <v>62</v>
      </c>
      <c r="C36" s="5" t="s">
        <v>74</v>
      </c>
      <c r="D36" s="5" t="s">
        <v>959</v>
      </c>
      <c r="E36" s="16" t="s">
        <v>958</v>
      </c>
    </row>
    <row r="38" spans="1:5" s="4" customFormat="1" ht="14.25">
      <c r="A38" s="13"/>
      <c r="B38" s="14" t="s">
        <v>268</v>
      </c>
      <c r="C38" s="5"/>
      <c r="D38" s="5"/>
      <c r="E38" s="5"/>
    </row>
    <row r="39" spans="1:5" s="4" customFormat="1" ht="15">
      <c r="A39" s="15" t="s">
        <v>63</v>
      </c>
      <c r="B39" s="15" t="s">
        <v>64</v>
      </c>
      <c r="C39" s="15" t="s">
        <v>65</v>
      </c>
      <c r="D39" s="15" t="s">
        <v>66</v>
      </c>
      <c r="E39" s="15" t="s">
        <v>961</v>
      </c>
    </row>
    <row r="40" spans="1:5" s="4" customFormat="1" ht="12.75">
      <c r="A40" s="12" t="s">
        <v>960</v>
      </c>
      <c r="B40" s="5" t="s">
        <v>372</v>
      </c>
      <c r="C40" s="5" t="s">
        <v>74</v>
      </c>
      <c r="D40" s="5" t="s">
        <v>959</v>
      </c>
      <c r="E40" s="16" t="s">
        <v>958</v>
      </c>
    </row>
    <row r="41" spans="1:5" s="4" customFormat="1" ht="12.75">
      <c r="A41" s="12" t="s">
        <v>957</v>
      </c>
      <c r="B41" s="5" t="s">
        <v>359</v>
      </c>
      <c r="C41" s="5" t="s">
        <v>265</v>
      </c>
      <c r="D41" s="5" t="s">
        <v>956</v>
      </c>
      <c r="E41" s="16" t="s">
        <v>955</v>
      </c>
    </row>
    <row r="42" spans="1:5" s="4" customFormat="1" ht="12.75">
      <c r="A42" s="12" t="s">
        <v>670</v>
      </c>
      <c r="B42" s="5" t="s">
        <v>269</v>
      </c>
      <c r="C42" s="5" t="s">
        <v>71</v>
      </c>
      <c r="D42" s="5" t="s">
        <v>954</v>
      </c>
      <c r="E42" s="16" t="s">
        <v>953</v>
      </c>
    </row>
  </sheetData>
  <sheetProtection/>
  <mergeCells count="15">
    <mergeCell ref="A1:K2"/>
    <mergeCell ref="A3:A4"/>
    <mergeCell ref="B3:B4"/>
    <mergeCell ref="C3:C4"/>
    <mergeCell ref="D3:D4"/>
    <mergeCell ref="E3:E4"/>
    <mergeCell ref="F3:F4"/>
    <mergeCell ref="G3:H3"/>
    <mergeCell ref="K3:K4"/>
    <mergeCell ref="A8:J8"/>
    <mergeCell ref="A11:J11"/>
    <mergeCell ref="A16:J16"/>
    <mergeCell ref="I3:I4"/>
    <mergeCell ref="J3:J4"/>
    <mergeCell ref="A5:J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10.75390625" style="5" bestFit="1" customWidth="1"/>
    <col min="5" max="5" width="22.75390625" style="5" bestFit="1" customWidth="1"/>
    <col min="6" max="6" width="17.25390625" style="5" bestFit="1" customWidth="1"/>
    <col min="7" max="7" width="5.625" style="4" bestFit="1" customWidth="1"/>
    <col min="8" max="8" width="4.625" style="51" bestFit="1" customWidth="1"/>
    <col min="9" max="9" width="7.875" style="5" bestFit="1" customWidth="1"/>
    <col min="10" max="10" width="9.625" style="4" bestFit="1" customWidth="1"/>
    <col min="11" max="11" width="8.875" style="5" bestFit="1" customWidth="1"/>
    <col min="12" max="16384" width="9.125" style="4" customWidth="1"/>
  </cols>
  <sheetData>
    <row r="1" spans="1:11" s="3" customFormat="1" ht="28.5" customHeight="1">
      <c r="A1" s="40" t="s">
        <v>1000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 t="s">
        <v>951</v>
      </c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5" spans="1:10" ht="15">
      <c r="A5" s="38" t="s">
        <v>133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ht="13.5" thickBot="1">
      <c r="A6" s="8" t="s">
        <v>147</v>
      </c>
      <c r="B6" s="8" t="s">
        <v>148</v>
      </c>
      <c r="C6" s="8" t="s">
        <v>149</v>
      </c>
      <c r="D6" s="8" t="str">
        <f>"0,9419"</f>
        <v>0,9419</v>
      </c>
      <c r="E6" s="8" t="s">
        <v>25</v>
      </c>
      <c r="F6" s="8" t="s">
        <v>138</v>
      </c>
      <c r="G6" s="9" t="s">
        <v>999</v>
      </c>
      <c r="H6" s="53" t="s">
        <v>577</v>
      </c>
      <c r="I6" s="8" t="str">
        <f>"1100,0"</f>
        <v>1100,0</v>
      </c>
      <c r="J6" s="9"/>
      <c r="K6" s="8" t="s">
        <v>49</v>
      </c>
    </row>
    <row r="7" spans="1:10" ht="15">
      <c r="A7" s="38" t="s">
        <v>106</v>
      </c>
      <c r="B7" s="39"/>
      <c r="C7" s="39"/>
      <c r="D7" s="39"/>
      <c r="E7" s="39"/>
      <c r="F7" s="39"/>
      <c r="G7" s="39"/>
      <c r="H7" s="39"/>
      <c r="I7" s="39"/>
      <c r="J7" s="39"/>
    </row>
    <row r="8" spans="1:11" ht="12.75">
      <c r="A8" s="8" t="s">
        <v>441</v>
      </c>
      <c r="B8" s="8" t="s">
        <v>442</v>
      </c>
      <c r="C8" s="8" t="s">
        <v>443</v>
      </c>
      <c r="D8" s="8" t="str">
        <f>"1,0078"</f>
        <v>1,0078</v>
      </c>
      <c r="E8" s="8" t="s">
        <v>25</v>
      </c>
      <c r="F8" s="8" t="s">
        <v>138</v>
      </c>
      <c r="G8" s="27" t="s">
        <v>998</v>
      </c>
      <c r="H8" s="53" t="s">
        <v>113</v>
      </c>
      <c r="I8" s="26" t="s">
        <v>997</v>
      </c>
      <c r="J8" s="9"/>
      <c r="K8" s="8" t="s">
        <v>49</v>
      </c>
    </row>
    <row r="9" spans="1:10" ht="15">
      <c r="A9" s="49" t="s">
        <v>20</v>
      </c>
      <c r="B9" s="50"/>
      <c r="C9" s="50"/>
      <c r="D9" s="50"/>
      <c r="E9" s="50"/>
      <c r="F9" s="50"/>
      <c r="G9" s="50"/>
      <c r="H9" s="50"/>
      <c r="I9" s="50"/>
      <c r="J9" s="50"/>
    </row>
    <row r="10" spans="1:11" ht="12.75">
      <c r="A10" s="20" t="s">
        <v>337</v>
      </c>
      <c r="B10" s="20" t="s">
        <v>338</v>
      </c>
      <c r="C10" s="20" t="s">
        <v>510</v>
      </c>
      <c r="D10" s="20" t="str">
        <f>"0,7153"</f>
        <v>0,7153</v>
      </c>
      <c r="E10" s="20" t="s">
        <v>25</v>
      </c>
      <c r="F10" s="20" t="s">
        <v>340</v>
      </c>
      <c r="G10" s="31" t="s">
        <v>947</v>
      </c>
      <c r="H10" s="54" t="s">
        <v>996</v>
      </c>
      <c r="I10" s="30" t="s">
        <v>995</v>
      </c>
      <c r="J10" s="21"/>
      <c r="K10" s="20" t="s">
        <v>49</v>
      </c>
    </row>
    <row r="11" ht="15">
      <c r="E11" s="6" t="s">
        <v>13</v>
      </c>
    </row>
    <row r="12" ht="15">
      <c r="E12" s="6" t="s">
        <v>14</v>
      </c>
    </row>
    <row r="13" ht="15">
      <c r="E13" s="6" t="s">
        <v>15</v>
      </c>
    </row>
    <row r="14" ht="15">
      <c r="E14" s="6" t="s">
        <v>15</v>
      </c>
    </row>
    <row r="15" ht="15">
      <c r="E15" s="6" t="s">
        <v>16</v>
      </c>
    </row>
    <row r="16" ht="15">
      <c r="E16" s="6"/>
    </row>
    <row r="18" spans="1:5" s="4" customFormat="1" ht="18">
      <c r="A18" s="7" t="s">
        <v>17</v>
      </c>
      <c r="B18" s="7"/>
      <c r="C18" s="5"/>
      <c r="D18" s="5"/>
      <c r="E18" s="5"/>
    </row>
    <row r="19" spans="1:5" s="4" customFormat="1" ht="15">
      <c r="A19" s="11" t="s">
        <v>245</v>
      </c>
      <c r="B19" s="11"/>
      <c r="C19" s="5"/>
      <c r="D19" s="5"/>
      <c r="E19" s="5"/>
    </row>
    <row r="20" spans="1:5" s="4" customFormat="1" ht="14.25">
      <c r="A20" s="13"/>
      <c r="B20" s="14" t="s">
        <v>62</v>
      </c>
      <c r="C20" s="5"/>
      <c r="D20" s="5"/>
      <c r="E20" s="5"/>
    </row>
    <row r="21" spans="1:5" s="4" customFormat="1" ht="15">
      <c r="A21" s="15" t="s">
        <v>63</v>
      </c>
      <c r="B21" s="15" t="s">
        <v>64</v>
      </c>
      <c r="C21" s="15" t="s">
        <v>65</v>
      </c>
      <c r="D21" s="15" t="s">
        <v>66</v>
      </c>
      <c r="E21" s="15" t="s">
        <v>961</v>
      </c>
    </row>
    <row r="22" spans="1:5" s="4" customFormat="1" ht="12.75">
      <c r="A22" s="12" t="s">
        <v>146</v>
      </c>
      <c r="B22" s="5" t="s">
        <v>62</v>
      </c>
      <c r="C22" s="5" t="s">
        <v>251</v>
      </c>
      <c r="D22" s="5" t="s">
        <v>994</v>
      </c>
      <c r="E22" s="16" t="s">
        <v>993</v>
      </c>
    </row>
  </sheetData>
  <sheetProtection/>
  <mergeCells count="14">
    <mergeCell ref="A1:K2"/>
    <mergeCell ref="A3:A4"/>
    <mergeCell ref="B3:B4"/>
    <mergeCell ref="C3:C4"/>
    <mergeCell ref="D3:D4"/>
    <mergeCell ref="E3:E4"/>
    <mergeCell ref="F3:F4"/>
    <mergeCell ref="G3:H3"/>
    <mergeCell ref="A7:J7"/>
    <mergeCell ref="A9:J9"/>
    <mergeCell ref="I3:I4"/>
    <mergeCell ref="J3:J4"/>
    <mergeCell ref="K3:K4"/>
    <mergeCell ref="A5:J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9" sqref="A19:K19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10.75390625" style="5" bestFit="1" customWidth="1"/>
    <col min="5" max="5" width="22.75390625" style="5" bestFit="1" customWidth="1"/>
    <col min="6" max="6" width="33.375" style="5" bestFit="1" customWidth="1"/>
    <col min="7" max="7" width="6.625" style="4" bestFit="1" customWidth="1"/>
    <col min="8" max="8" width="4.625" style="51" bestFit="1" customWidth="1"/>
    <col min="9" max="9" width="7.875" style="5" bestFit="1" customWidth="1"/>
    <col min="10" max="10" width="9.625" style="4" bestFit="1" customWidth="1"/>
    <col min="11" max="11" width="18.125" style="5" bestFit="1" customWidth="1"/>
    <col min="12" max="16384" width="9.125" style="4" customWidth="1"/>
  </cols>
  <sheetData>
    <row r="1" spans="1:11" s="3" customFormat="1" ht="28.5" customHeight="1">
      <c r="A1" s="40" t="s">
        <v>1051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9</v>
      </c>
      <c r="C3" s="48" t="s">
        <v>10</v>
      </c>
      <c r="D3" s="34" t="s">
        <v>951</v>
      </c>
      <c r="E3" s="34" t="s">
        <v>7</v>
      </c>
      <c r="F3" s="34" t="s">
        <v>11</v>
      </c>
      <c r="G3" s="34" t="s">
        <v>887</v>
      </c>
      <c r="H3" s="34"/>
      <c r="I3" s="34" t="s">
        <v>886</v>
      </c>
      <c r="J3" s="34" t="s">
        <v>6</v>
      </c>
      <c r="K3" s="36" t="s">
        <v>5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32" t="s">
        <v>885</v>
      </c>
      <c r="H4" s="52" t="s">
        <v>884</v>
      </c>
      <c r="I4" s="35"/>
      <c r="J4" s="35"/>
      <c r="K4" s="37"/>
    </row>
    <row r="5" spans="1:10" ht="15">
      <c r="A5" s="38" t="s">
        <v>106</v>
      </c>
      <c r="B5" s="39"/>
      <c r="C5" s="39"/>
      <c r="D5" s="39"/>
      <c r="E5" s="39"/>
      <c r="F5" s="39"/>
      <c r="G5" s="39"/>
      <c r="H5" s="39"/>
      <c r="I5" s="39"/>
      <c r="J5" s="39"/>
    </row>
    <row r="6" spans="1:11" ht="12.75">
      <c r="A6" s="8" t="s">
        <v>441</v>
      </c>
      <c r="B6" s="8" t="s">
        <v>442</v>
      </c>
      <c r="C6" s="8" t="s">
        <v>443</v>
      </c>
      <c r="D6" s="8" t="str">
        <f>"1,0078"</f>
        <v>1,0078</v>
      </c>
      <c r="E6" s="8" t="s">
        <v>25</v>
      </c>
      <c r="F6" s="8" t="s">
        <v>138</v>
      </c>
      <c r="G6" s="9" t="s">
        <v>302</v>
      </c>
      <c r="H6" s="53" t="s">
        <v>113</v>
      </c>
      <c r="I6" s="8" t="str">
        <f>"2625,0"</f>
        <v>2625,0</v>
      </c>
      <c r="J6" s="9" t="str">
        <f>"2645,4750"</f>
        <v>2645,4750</v>
      </c>
      <c r="K6" s="8" t="s">
        <v>49</v>
      </c>
    </row>
    <row r="8" spans="1:10" ht="15">
      <c r="A8" s="49" t="s">
        <v>188</v>
      </c>
      <c r="B8" s="50"/>
      <c r="C8" s="50"/>
      <c r="D8" s="50"/>
      <c r="E8" s="50"/>
      <c r="F8" s="50"/>
      <c r="G8" s="50"/>
      <c r="H8" s="50"/>
      <c r="I8" s="50"/>
      <c r="J8" s="50"/>
    </row>
    <row r="9" spans="1:11" ht="12.75">
      <c r="A9" s="17" t="s">
        <v>450</v>
      </c>
      <c r="B9" s="17" t="s">
        <v>451</v>
      </c>
      <c r="C9" s="17" t="s">
        <v>452</v>
      </c>
      <c r="D9" s="17" t="str">
        <f>"0,7891"</f>
        <v>0,7891</v>
      </c>
      <c r="E9" s="17" t="s">
        <v>453</v>
      </c>
      <c r="F9" s="17" t="s">
        <v>454</v>
      </c>
      <c r="G9" s="18" t="s">
        <v>141</v>
      </c>
      <c r="H9" s="56" t="s">
        <v>1050</v>
      </c>
      <c r="I9" s="17" t="str">
        <f>"2775,0"</f>
        <v>2775,0</v>
      </c>
      <c r="J9" s="18" t="str">
        <f>"2189,7525"</f>
        <v>2189,7525</v>
      </c>
      <c r="K9" s="17" t="s">
        <v>455</v>
      </c>
    </row>
    <row r="10" spans="1:11" ht="12.75">
      <c r="A10" s="23" t="s">
        <v>1049</v>
      </c>
      <c r="B10" s="23" t="s">
        <v>458</v>
      </c>
      <c r="C10" s="23" t="s">
        <v>459</v>
      </c>
      <c r="D10" s="23" t="str">
        <f>"0,7987"</f>
        <v>0,7987</v>
      </c>
      <c r="E10" s="23" t="s">
        <v>25</v>
      </c>
      <c r="F10" s="23" t="s">
        <v>389</v>
      </c>
      <c r="G10" s="25" t="s">
        <v>193</v>
      </c>
      <c r="H10" s="57" t="s">
        <v>1048</v>
      </c>
      <c r="I10" s="23" t="str">
        <f>"2475,0"</f>
        <v>2475,0</v>
      </c>
      <c r="J10" s="25" t="str">
        <f>"1976,7824"</f>
        <v>1976,7824</v>
      </c>
      <c r="K10" s="23" t="s">
        <v>49</v>
      </c>
    </row>
    <row r="11" spans="1:11" ht="12.75">
      <c r="A11" s="20" t="s">
        <v>1047</v>
      </c>
      <c r="B11" s="20" t="s">
        <v>1046</v>
      </c>
      <c r="C11" s="20" t="s">
        <v>1045</v>
      </c>
      <c r="D11" s="20" t="str">
        <f>"0,8518"</f>
        <v>0,8518</v>
      </c>
      <c r="E11" s="20" t="s">
        <v>25</v>
      </c>
      <c r="F11" s="20" t="s">
        <v>397</v>
      </c>
      <c r="G11" s="21" t="s">
        <v>140</v>
      </c>
      <c r="H11" s="54" t="s">
        <v>1033</v>
      </c>
      <c r="I11" s="20" t="str">
        <f>"1960,0"</f>
        <v>1960,0</v>
      </c>
      <c r="J11" s="21" t="str">
        <f>"1669,5280"</f>
        <v>1669,5280</v>
      </c>
      <c r="K11" s="20" t="s">
        <v>49</v>
      </c>
    </row>
    <row r="13" spans="1:10" ht="15">
      <c r="A13" s="49" t="s">
        <v>20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1" ht="12.75">
      <c r="A14" s="17" t="s">
        <v>502</v>
      </c>
      <c r="B14" s="17" t="s">
        <v>503</v>
      </c>
      <c r="C14" s="17" t="s">
        <v>504</v>
      </c>
      <c r="D14" s="17" t="str">
        <f>"0,7209"</f>
        <v>0,7209</v>
      </c>
      <c r="E14" s="17" t="s">
        <v>25</v>
      </c>
      <c r="F14" s="17" t="s">
        <v>26</v>
      </c>
      <c r="G14" s="18" t="s">
        <v>71</v>
      </c>
      <c r="H14" s="56" t="s">
        <v>905</v>
      </c>
      <c r="I14" s="17" t="str">
        <f>"2880,0"</f>
        <v>2880,0</v>
      </c>
      <c r="J14" s="18" t="str">
        <f>"2076,1920"</f>
        <v>2076,1920</v>
      </c>
      <c r="K14" s="17" t="s">
        <v>49</v>
      </c>
    </row>
    <row r="15" spans="1:11" ht="12.75">
      <c r="A15" s="23" t="s">
        <v>1044</v>
      </c>
      <c r="B15" s="23" t="s">
        <v>1043</v>
      </c>
      <c r="C15" s="23" t="s">
        <v>1035</v>
      </c>
      <c r="D15" s="23" t="str">
        <f>"0,7250"</f>
        <v>0,7250</v>
      </c>
      <c r="E15" s="23" t="s">
        <v>25</v>
      </c>
      <c r="F15" s="23" t="s">
        <v>385</v>
      </c>
      <c r="G15" s="25" t="s">
        <v>71</v>
      </c>
      <c r="H15" s="57" t="s">
        <v>970</v>
      </c>
      <c r="I15" s="23" t="str">
        <f>"2610,0"</f>
        <v>2610,0</v>
      </c>
      <c r="J15" s="25" t="str">
        <f>"1892,2501"</f>
        <v>1892,2501</v>
      </c>
      <c r="K15" s="23" t="s">
        <v>49</v>
      </c>
    </row>
    <row r="16" spans="1:11" ht="12.75">
      <c r="A16" s="23" t="s">
        <v>1042</v>
      </c>
      <c r="B16" s="23" t="s">
        <v>383</v>
      </c>
      <c r="C16" s="23" t="s">
        <v>384</v>
      </c>
      <c r="D16" s="23" t="str">
        <f>"0,7316"</f>
        <v>0,7316</v>
      </c>
      <c r="E16" s="23" t="s">
        <v>25</v>
      </c>
      <c r="F16" s="23" t="s">
        <v>385</v>
      </c>
      <c r="G16" s="25" t="s">
        <v>105</v>
      </c>
      <c r="H16" s="57" t="s">
        <v>912</v>
      </c>
      <c r="I16" s="23" t="str">
        <f>"2340,0"</f>
        <v>2340,0</v>
      </c>
      <c r="J16" s="25" t="str">
        <f>"1711,9440"</f>
        <v>1711,9440</v>
      </c>
      <c r="K16" s="23" t="s">
        <v>49</v>
      </c>
    </row>
    <row r="17" spans="1:11" ht="12.75">
      <c r="A17" s="23" t="s">
        <v>1041</v>
      </c>
      <c r="B17" s="23" t="s">
        <v>1040</v>
      </c>
      <c r="C17" s="23" t="s">
        <v>1039</v>
      </c>
      <c r="D17" s="23" t="str">
        <f>"0,7647"</f>
        <v>0,7647</v>
      </c>
      <c r="E17" s="23" t="s">
        <v>25</v>
      </c>
      <c r="F17" s="23" t="s">
        <v>397</v>
      </c>
      <c r="G17" s="25" t="s">
        <v>150</v>
      </c>
      <c r="H17" s="57" t="s">
        <v>912</v>
      </c>
      <c r="I17" s="23" t="str">
        <f>"2210,0"</f>
        <v>2210,0</v>
      </c>
      <c r="J17" s="25" t="str">
        <f>"1689,9870"</f>
        <v>1689,9870</v>
      </c>
      <c r="K17" s="23" t="s">
        <v>1038</v>
      </c>
    </row>
    <row r="18" spans="1:11" ht="12.75">
      <c r="A18" s="23" t="s">
        <v>1037</v>
      </c>
      <c r="B18" s="23" t="s">
        <v>1036</v>
      </c>
      <c r="C18" s="23" t="s">
        <v>1035</v>
      </c>
      <c r="D18" s="23" t="str">
        <f>"0,7250"</f>
        <v>0,7250</v>
      </c>
      <c r="E18" s="23" t="s">
        <v>25</v>
      </c>
      <c r="F18" s="23" t="s">
        <v>1034</v>
      </c>
      <c r="G18" s="25" t="s">
        <v>105</v>
      </c>
      <c r="H18" s="57" t="s">
        <v>1031</v>
      </c>
      <c r="I18" s="23" t="str">
        <f>"2160,0"</f>
        <v>2160,0</v>
      </c>
      <c r="J18" s="25" t="str">
        <f>"1566,0001"</f>
        <v>1566,0001</v>
      </c>
      <c r="K18" s="23" t="s">
        <v>49</v>
      </c>
    </row>
    <row r="19" spans="1:11" ht="12.75">
      <c r="A19" s="20" t="s">
        <v>337</v>
      </c>
      <c r="B19" s="20" t="s">
        <v>338</v>
      </c>
      <c r="C19" s="20" t="s">
        <v>510</v>
      </c>
      <c r="D19" s="20" t="str">
        <f>"0,7153"</f>
        <v>0,7153</v>
      </c>
      <c r="E19" s="20" t="s">
        <v>25</v>
      </c>
      <c r="F19" s="20" t="s">
        <v>340</v>
      </c>
      <c r="G19" s="21" t="s">
        <v>105</v>
      </c>
      <c r="H19" s="54" t="s">
        <v>996</v>
      </c>
      <c r="I19" s="20" t="str">
        <f>"4860,0"</f>
        <v>4860,0</v>
      </c>
      <c r="J19" s="21" t="str">
        <f>"3476,3581"</f>
        <v>3476,3581</v>
      </c>
      <c r="K19" s="20" t="s">
        <v>49</v>
      </c>
    </row>
    <row r="21" spans="1:10" ht="15">
      <c r="A21" s="49" t="s">
        <v>37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1" ht="12.75">
      <c r="A22" s="17" t="s">
        <v>387</v>
      </c>
      <c r="B22" s="17" t="s">
        <v>388</v>
      </c>
      <c r="C22" s="17" t="s">
        <v>351</v>
      </c>
      <c r="D22" s="17" t="str">
        <f>"0,6618"</f>
        <v>0,6618</v>
      </c>
      <c r="E22" s="17" t="s">
        <v>25</v>
      </c>
      <c r="F22" s="17" t="s">
        <v>389</v>
      </c>
      <c r="G22" s="18" t="s">
        <v>74</v>
      </c>
      <c r="H22" s="56" t="s">
        <v>1033</v>
      </c>
      <c r="I22" s="17" t="str">
        <f>"2800,0"</f>
        <v>2800,0</v>
      </c>
      <c r="J22" s="18" t="str">
        <f>"1853,0401"</f>
        <v>1853,0401</v>
      </c>
      <c r="K22" s="17" t="s">
        <v>49</v>
      </c>
    </row>
    <row r="23" spans="1:11" ht="12.75">
      <c r="A23" s="23" t="s">
        <v>1032</v>
      </c>
      <c r="B23" s="23" t="s">
        <v>513</v>
      </c>
      <c r="C23" s="23" t="s">
        <v>514</v>
      </c>
      <c r="D23" s="23" t="str">
        <f>"0,6830"</f>
        <v>0,6830</v>
      </c>
      <c r="E23" s="23" t="s">
        <v>25</v>
      </c>
      <c r="F23" s="23" t="s">
        <v>397</v>
      </c>
      <c r="G23" s="25" t="s">
        <v>171</v>
      </c>
      <c r="H23" s="57" t="s">
        <v>1031</v>
      </c>
      <c r="I23" s="23" t="str">
        <f>"2340,0"</f>
        <v>2340,0</v>
      </c>
      <c r="J23" s="25" t="str">
        <f>"1598,2201"</f>
        <v>1598,2201</v>
      </c>
      <c r="K23" s="23" t="s">
        <v>49</v>
      </c>
    </row>
    <row r="24" spans="1:11" ht="12.75">
      <c r="A24" s="20" t="s">
        <v>1030</v>
      </c>
      <c r="B24" s="20" t="s">
        <v>524</v>
      </c>
      <c r="C24" s="20" t="s">
        <v>351</v>
      </c>
      <c r="D24" s="20" t="str">
        <f>"0,6618"</f>
        <v>0,6618</v>
      </c>
      <c r="E24" s="20" t="s">
        <v>25</v>
      </c>
      <c r="F24" s="20" t="s">
        <v>408</v>
      </c>
      <c r="G24" s="21" t="s">
        <v>160</v>
      </c>
      <c r="H24" s="54" t="s">
        <v>932</v>
      </c>
      <c r="I24" s="20" t="str">
        <f>"2100,0"</f>
        <v>2100,0</v>
      </c>
      <c r="J24" s="21" t="str">
        <f>"1389,7801"</f>
        <v>1389,7801</v>
      </c>
      <c r="K24" s="20" t="s">
        <v>49</v>
      </c>
    </row>
    <row r="26" ht="15">
      <c r="E26" s="6" t="s">
        <v>12</v>
      </c>
    </row>
    <row r="27" ht="15">
      <c r="E27" s="6" t="s">
        <v>13</v>
      </c>
    </row>
    <row r="28" ht="15">
      <c r="E28" s="6" t="s">
        <v>14</v>
      </c>
    </row>
    <row r="29" ht="15">
      <c r="E29" s="6" t="s">
        <v>15</v>
      </c>
    </row>
    <row r="30" ht="15">
      <c r="E30" s="6" t="s">
        <v>15</v>
      </c>
    </row>
    <row r="31" ht="15">
      <c r="E31" s="6" t="s">
        <v>16</v>
      </c>
    </row>
    <row r="32" ht="15">
      <c r="E32" s="6"/>
    </row>
    <row r="34" spans="1:5" s="4" customFormat="1" ht="18">
      <c r="A34" s="7" t="s">
        <v>17</v>
      </c>
      <c r="B34" s="7"/>
      <c r="C34" s="5"/>
      <c r="D34" s="5"/>
      <c r="E34" s="5"/>
    </row>
    <row r="35" spans="1:5" s="4" customFormat="1" ht="15">
      <c r="A35" s="11" t="s">
        <v>61</v>
      </c>
      <c r="B35" s="11"/>
      <c r="C35" s="5"/>
      <c r="D35" s="5"/>
      <c r="E35" s="5"/>
    </row>
    <row r="36" spans="1:5" s="4" customFormat="1" ht="14.25">
      <c r="A36" s="13"/>
      <c r="B36" s="14" t="s">
        <v>274</v>
      </c>
      <c r="C36" s="5"/>
      <c r="D36" s="5"/>
      <c r="E36" s="5"/>
    </row>
    <row r="37" spans="1:5" s="4" customFormat="1" ht="15">
      <c r="A37" s="15" t="s">
        <v>63</v>
      </c>
      <c r="B37" s="15" t="s">
        <v>64</v>
      </c>
      <c r="C37" s="15" t="s">
        <v>65</v>
      </c>
      <c r="D37" s="15" t="s">
        <v>66</v>
      </c>
      <c r="E37" s="15" t="s">
        <v>961</v>
      </c>
    </row>
    <row r="38" spans="1:5" s="4" customFormat="1" ht="12.75">
      <c r="A38" s="12" t="s">
        <v>440</v>
      </c>
      <c r="B38" s="5" t="s">
        <v>247</v>
      </c>
      <c r="C38" s="5" t="s">
        <v>248</v>
      </c>
      <c r="D38" s="5" t="s">
        <v>1029</v>
      </c>
      <c r="E38" s="16" t="s">
        <v>1028</v>
      </c>
    </row>
    <row r="40" spans="1:5" s="4" customFormat="1" ht="14.25">
      <c r="A40" s="13"/>
      <c r="B40" s="14" t="s">
        <v>62</v>
      </c>
      <c r="C40" s="5"/>
      <c r="D40" s="5"/>
      <c r="E40" s="5"/>
    </row>
    <row r="41" spans="1:5" s="4" customFormat="1" ht="15">
      <c r="A41" s="15" t="s">
        <v>63</v>
      </c>
      <c r="B41" s="15" t="s">
        <v>64</v>
      </c>
      <c r="C41" s="15" t="s">
        <v>65</v>
      </c>
      <c r="D41" s="15" t="s">
        <v>66</v>
      </c>
      <c r="E41" s="15" t="s">
        <v>961</v>
      </c>
    </row>
    <row r="42" spans="1:5" s="4" customFormat="1" ht="12.75">
      <c r="A42" s="12" t="s">
        <v>449</v>
      </c>
      <c r="B42" s="5" t="s">
        <v>62</v>
      </c>
      <c r="C42" s="5" t="s">
        <v>141</v>
      </c>
      <c r="D42" s="5" t="s">
        <v>1027</v>
      </c>
      <c r="E42" s="16" t="s">
        <v>1026</v>
      </c>
    </row>
    <row r="43" spans="1:5" s="4" customFormat="1" ht="12.75">
      <c r="A43" s="12" t="s">
        <v>501</v>
      </c>
      <c r="B43" s="5" t="s">
        <v>62</v>
      </c>
      <c r="C43" s="5" t="s">
        <v>71</v>
      </c>
      <c r="D43" s="5" t="s">
        <v>1025</v>
      </c>
      <c r="E43" s="16" t="s">
        <v>1024</v>
      </c>
    </row>
    <row r="44" spans="1:5" s="4" customFormat="1" ht="12.75">
      <c r="A44" s="12" t="s">
        <v>1023</v>
      </c>
      <c r="B44" s="5" t="s">
        <v>62</v>
      </c>
      <c r="C44" s="5" t="s">
        <v>141</v>
      </c>
      <c r="D44" s="5" t="s">
        <v>1022</v>
      </c>
      <c r="E44" s="16" t="s">
        <v>1021</v>
      </c>
    </row>
    <row r="45" spans="1:5" s="4" customFormat="1" ht="12.75">
      <c r="A45" s="12" t="s">
        <v>1020</v>
      </c>
      <c r="B45" s="5" t="s">
        <v>62</v>
      </c>
      <c r="C45" s="5" t="s">
        <v>71</v>
      </c>
      <c r="D45" s="5" t="s">
        <v>1019</v>
      </c>
      <c r="E45" s="16" t="s">
        <v>1018</v>
      </c>
    </row>
    <row r="46" spans="1:5" s="4" customFormat="1" ht="12.75">
      <c r="A46" s="12" t="s">
        <v>386</v>
      </c>
      <c r="B46" s="5" t="s">
        <v>62</v>
      </c>
      <c r="C46" s="5" t="s">
        <v>74</v>
      </c>
      <c r="D46" s="5" t="s">
        <v>1017</v>
      </c>
      <c r="E46" s="16" t="s">
        <v>1016</v>
      </c>
    </row>
    <row r="47" spans="1:5" s="4" customFormat="1" ht="12.75">
      <c r="A47" s="12" t="s">
        <v>381</v>
      </c>
      <c r="B47" s="5" t="s">
        <v>62</v>
      </c>
      <c r="C47" s="5" t="s">
        <v>71</v>
      </c>
      <c r="D47" s="5" t="s">
        <v>1008</v>
      </c>
      <c r="E47" s="16" t="s">
        <v>1015</v>
      </c>
    </row>
    <row r="48" spans="1:5" s="4" customFormat="1" ht="12.75">
      <c r="A48" s="12" t="s">
        <v>1014</v>
      </c>
      <c r="B48" s="5" t="s">
        <v>62</v>
      </c>
      <c r="C48" s="5" t="s">
        <v>71</v>
      </c>
      <c r="D48" s="5" t="s">
        <v>1013</v>
      </c>
      <c r="E48" s="16" t="s">
        <v>1012</v>
      </c>
    </row>
    <row r="49" spans="1:5" s="4" customFormat="1" ht="12.75">
      <c r="A49" s="12" t="s">
        <v>1011</v>
      </c>
      <c r="B49" s="5" t="s">
        <v>62</v>
      </c>
      <c r="C49" s="5" t="s">
        <v>141</v>
      </c>
      <c r="D49" s="5" t="s">
        <v>1010</v>
      </c>
      <c r="E49" s="16" t="s">
        <v>1009</v>
      </c>
    </row>
    <row r="50" spans="1:5" s="4" customFormat="1" ht="12.75">
      <c r="A50" s="12" t="s">
        <v>511</v>
      </c>
      <c r="B50" s="5" t="s">
        <v>62</v>
      </c>
      <c r="C50" s="5" t="s">
        <v>74</v>
      </c>
      <c r="D50" s="5" t="s">
        <v>1008</v>
      </c>
      <c r="E50" s="16" t="s">
        <v>1007</v>
      </c>
    </row>
    <row r="51" spans="1:5" s="4" customFormat="1" ht="12.75">
      <c r="A51" s="12" t="s">
        <v>522</v>
      </c>
      <c r="B51" s="5" t="s">
        <v>62</v>
      </c>
      <c r="C51" s="5" t="s">
        <v>74</v>
      </c>
      <c r="D51" s="5" t="s">
        <v>923</v>
      </c>
      <c r="E51" s="16" t="s">
        <v>1006</v>
      </c>
    </row>
    <row r="53" spans="1:5" s="4" customFormat="1" ht="14.25">
      <c r="A53" s="13"/>
      <c r="B53" s="14" t="s">
        <v>268</v>
      </c>
      <c r="C53" s="5"/>
      <c r="D53" s="5"/>
      <c r="E53" s="5"/>
    </row>
    <row r="54" spans="1:5" s="4" customFormat="1" ht="15">
      <c r="A54" s="15" t="s">
        <v>63</v>
      </c>
      <c r="B54" s="15" t="s">
        <v>64</v>
      </c>
      <c r="C54" s="15" t="s">
        <v>65</v>
      </c>
      <c r="D54" s="15" t="s">
        <v>66</v>
      </c>
      <c r="E54" s="15" t="s">
        <v>961</v>
      </c>
    </row>
    <row r="55" spans="1:5" s="4" customFormat="1" ht="12.75">
      <c r="A55" s="12" t="s">
        <v>336</v>
      </c>
      <c r="B55" s="5" t="s">
        <v>372</v>
      </c>
      <c r="C55" s="5" t="s">
        <v>71</v>
      </c>
      <c r="D55" s="5" t="s">
        <v>1005</v>
      </c>
      <c r="E55" s="16" t="s">
        <v>1004</v>
      </c>
    </row>
    <row r="56" spans="1:5" s="4" customFormat="1" ht="12.75">
      <c r="A56" s="12" t="s">
        <v>1003</v>
      </c>
      <c r="B56" s="5" t="s">
        <v>269</v>
      </c>
      <c r="C56" s="5" t="s">
        <v>71</v>
      </c>
      <c r="D56" s="5" t="s">
        <v>1002</v>
      </c>
      <c r="E56" s="16" t="s">
        <v>1001</v>
      </c>
    </row>
  </sheetData>
  <sheetProtection/>
  <mergeCells count="15">
    <mergeCell ref="A1:K2"/>
    <mergeCell ref="G3:H3"/>
    <mergeCell ref="A3:A4"/>
    <mergeCell ref="B3:B4"/>
    <mergeCell ref="C3:C4"/>
    <mergeCell ref="A8:J8"/>
    <mergeCell ref="A13:J13"/>
    <mergeCell ref="A21:J21"/>
    <mergeCell ref="K3:K4"/>
    <mergeCell ref="F3:F4"/>
    <mergeCell ref="E3:E4"/>
    <mergeCell ref="A5:J5"/>
    <mergeCell ref="D3:D4"/>
    <mergeCell ref="I3:I4"/>
    <mergeCell ref="J3:J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:Q2"/>
    </sheetView>
  </sheetViews>
  <sheetFormatPr defaultColWidth="9.00390625" defaultRowHeight="12.75"/>
  <cols>
    <col min="1" max="1" width="28.25390625" style="16" bestFit="1" customWidth="1"/>
    <col min="2" max="2" width="28.625" style="58" bestFit="1" customWidth="1"/>
    <col min="3" max="3" width="6.625" style="58" bestFit="1" customWidth="1"/>
    <col min="4" max="4" width="9.25390625" style="58" bestFit="1" customWidth="1"/>
    <col min="5" max="5" width="22.75390625" style="59" bestFit="1" customWidth="1"/>
    <col min="6" max="6" width="29.75390625" style="59" bestFit="1" customWidth="1"/>
    <col min="7" max="7" width="5.625" style="58" bestFit="1" customWidth="1"/>
    <col min="8" max="9" width="2.125" style="58" bestFit="1" customWidth="1"/>
    <col min="10" max="11" width="4.625" style="58" bestFit="1" customWidth="1"/>
    <col min="12" max="13" width="2.125" style="58" bestFit="1" customWidth="1"/>
    <col min="14" max="14" width="4.625" style="58" bestFit="1" customWidth="1"/>
    <col min="15" max="15" width="7.875" style="16" bestFit="1" customWidth="1"/>
    <col min="16" max="16" width="6.625" style="58" bestFit="1" customWidth="1"/>
    <col min="17" max="17" width="8.875" style="59" bestFit="1" customWidth="1"/>
    <col min="18" max="16384" width="9.125" style="58" customWidth="1"/>
  </cols>
  <sheetData>
    <row r="1" spans="1:17" ht="28.5" customHeight="1">
      <c r="A1" s="69" t="s">
        <v>1058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7"/>
    </row>
    <row r="2" spans="1:17" ht="61.5" customHeight="1" thickBo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4"/>
    </row>
    <row r="3" spans="1:17" s="1" customFormat="1" ht="12.75" customHeight="1">
      <c r="A3" s="46" t="s">
        <v>0</v>
      </c>
      <c r="B3" s="48" t="s">
        <v>9</v>
      </c>
      <c r="C3" s="48" t="s">
        <v>1057</v>
      </c>
      <c r="D3" s="34" t="s">
        <v>19</v>
      </c>
      <c r="E3" s="34" t="s">
        <v>7</v>
      </c>
      <c r="F3" s="34" t="s">
        <v>11</v>
      </c>
      <c r="G3" s="34" t="s">
        <v>1056</v>
      </c>
      <c r="H3" s="34"/>
      <c r="I3" s="34"/>
      <c r="J3" s="34"/>
      <c r="K3" s="34" t="s">
        <v>1055</v>
      </c>
      <c r="L3" s="34"/>
      <c r="M3" s="34"/>
      <c r="N3" s="34"/>
      <c r="O3" s="34" t="s">
        <v>4</v>
      </c>
      <c r="P3" s="34" t="s">
        <v>6</v>
      </c>
      <c r="Q3" s="36" t="s">
        <v>5</v>
      </c>
    </row>
    <row r="4" spans="1:17" s="1" customFormat="1" ht="21" customHeight="1" thickBot="1">
      <c r="A4" s="47"/>
      <c r="B4" s="35"/>
      <c r="C4" s="35"/>
      <c r="D4" s="35"/>
      <c r="E4" s="35"/>
      <c r="F4" s="35"/>
      <c r="G4" s="63">
        <v>1</v>
      </c>
      <c r="H4" s="63">
        <v>2</v>
      </c>
      <c r="I4" s="63">
        <v>3</v>
      </c>
      <c r="J4" s="63" t="s">
        <v>8</v>
      </c>
      <c r="K4" s="63">
        <v>1</v>
      </c>
      <c r="L4" s="63">
        <v>2</v>
      </c>
      <c r="M4" s="63">
        <v>3</v>
      </c>
      <c r="N4" s="63" t="s">
        <v>8</v>
      </c>
      <c r="O4" s="35"/>
      <c r="P4" s="35"/>
      <c r="Q4" s="37"/>
    </row>
    <row r="5" spans="1:16" ht="15">
      <c r="A5" s="38" t="s">
        <v>541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7" ht="12.75">
      <c r="A6" s="62" t="s">
        <v>1054</v>
      </c>
      <c r="B6" s="27" t="s">
        <v>1053</v>
      </c>
      <c r="C6" s="27" t="s">
        <v>1052</v>
      </c>
      <c r="D6" s="27" t="str">
        <f>"0,5402"</f>
        <v>0,5402</v>
      </c>
      <c r="E6" s="26" t="s">
        <v>25</v>
      </c>
      <c r="F6" s="26" t="s">
        <v>26</v>
      </c>
      <c r="G6" s="10" t="s">
        <v>498</v>
      </c>
      <c r="H6" s="10"/>
      <c r="I6" s="10"/>
      <c r="J6" s="10"/>
      <c r="K6" s="10" t="s">
        <v>119</v>
      </c>
      <c r="L6" s="10"/>
      <c r="M6" s="10"/>
      <c r="N6" s="10"/>
      <c r="O6" s="62" t="str">
        <f>"0.00"</f>
        <v>0.00</v>
      </c>
      <c r="P6" s="27" t="str">
        <f>"0,0000"</f>
        <v>0,0000</v>
      </c>
      <c r="Q6" s="26" t="s">
        <v>49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61" t="s">
        <v>17</v>
      </c>
      <c r="B16" s="60"/>
    </row>
  </sheetData>
  <sheetProtection/>
  <mergeCells count="13">
    <mergeCell ref="K3:N3"/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8.25390625" style="16" bestFit="1" customWidth="1"/>
    <col min="2" max="2" width="27.75390625" style="58" bestFit="1" customWidth="1"/>
    <col min="3" max="3" width="10.625" style="58" bestFit="1" customWidth="1"/>
    <col min="4" max="4" width="9.25390625" style="58" bestFit="1" customWidth="1"/>
    <col min="5" max="5" width="22.75390625" style="59" bestFit="1" customWidth="1"/>
    <col min="6" max="6" width="29.75390625" style="59" bestFit="1" customWidth="1"/>
    <col min="7" max="9" width="5.625" style="58" bestFit="1" customWidth="1"/>
    <col min="10" max="14" width="4.625" style="58" bestFit="1" customWidth="1"/>
    <col min="15" max="15" width="7.875" style="16" bestFit="1" customWidth="1"/>
    <col min="16" max="16" width="7.625" style="58" bestFit="1" customWidth="1"/>
    <col min="17" max="17" width="15.75390625" style="59" bestFit="1" customWidth="1"/>
    <col min="18" max="16384" width="9.125" style="58" customWidth="1"/>
  </cols>
  <sheetData>
    <row r="1" spans="1:17" ht="28.5" customHeight="1">
      <c r="A1" s="69" t="s">
        <v>1083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7"/>
    </row>
    <row r="2" spans="1:17" ht="61.5" customHeight="1" thickBo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4"/>
    </row>
    <row r="3" spans="1:17" s="1" customFormat="1" ht="12.75" customHeight="1">
      <c r="A3" s="46" t="s">
        <v>0</v>
      </c>
      <c r="B3" s="48" t="s">
        <v>9</v>
      </c>
      <c r="C3" s="48" t="s">
        <v>1057</v>
      </c>
      <c r="D3" s="34" t="s">
        <v>19</v>
      </c>
      <c r="E3" s="34" t="s">
        <v>7</v>
      </c>
      <c r="F3" s="34" t="s">
        <v>11</v>
      </c>
      <c r="G3" s="34" t="s">
        <v>1056</v>
      </c>
      <c r="H3" s="34"/>
      <c r="I3" s="34"/>
      <c r="J3" s="34"/>
      <c r="K3" s="34" t="s">
        <v>1055</v>
      </c>
      <c r="L3" s="34"/>
      <c r="M3" s="34"/>
      <c r="N3" s="34"/>
      <c r="O3" s="34" t="s">
        <v>4</v>
      </c>
      <c r="P3" s="34" t="s">
        <v>6</v>
      </c>
      <c r="Q3" s="36" t="s">
        <v>5</v>
      </c>
    </row>
    <row r="4" spans="1:17" s="1" customFormat="1" ht="21" customHeight="1" thickBot="1">
      <c r="A4" s="47"/>
      <c r="B4" s="35"/>
      <c r="C4" s="35"/>
      <c r="D4" s="35"/>
      <c r="E4" s="35"/>
      <c r="F4" s="35"/>
      <c r="G4" s="63">
        <v>1</v>
      </c>
      <c r="H4" s="63">
        <v>2</v>
      </c>
      <c r="I4" s="63">
        <v>3</v>
      </c>
      <c r="J4" s="63" t="s">
        <v>8</v>
      </c>
      <c r="K4" s="63">
        <v>1</v>
      </c>
      <c r="L4" s="63">
        <v>2</v>
      </c>
      <c r="M4" s="63">
        <v>3</v>
      </c>
      <c r="N4" s="63" t="s">
        <v>8</v>
      </c>
      <c r="O4" s="35"/>
      <c r="P4" s="35"/>
      <c r="Q4" s="37"/>
    </row>
    <row r="5" spans="1:16" ht="15">
      <c r="A5" s="38" t="s">
        <v>180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7" ht="12.75">
      <c r="A6" s="78" t="s">
        <v>1082</v>
      </c>
      <c r="B6" s="29" t="s">
        <v>1081</v>
      </c>
      <c r="C6" s="29" t="s">
        <v>1080</v>
      </c>
      <c r="D6" s="29" t="str">
        <f>"0,6329"</f>
        <v>0,6329</v>
      </c>
      <c r="E6" s="28" t="s">
        <v>25</v>
      </c>
      <c r="F6" s="28" t="s">
        <v>385</v>
      </c>
      <c r="G6" s="29" t="s">
        <v>114</v>
      </c>
      <c r="H6" s="19" t="s">
        <v>294</v>
      </c>
      <c r="I6" s="29" t="s">
        <v>294</v>
      </c>
      <c r="J6" s="19"/>
      <c r="K6" s="19" t="s">
        <v>113</v>
      </c>
      <c r="L6" s="19" t="s">
        <v>113</v>
      </c>
      <c r="M6" s="19" t="s">
        <v>178</v>
      </c>
      <c r="N6" s="19"/>
      <c r="O6" s="78" t="str">
        <f>"0.00"</f>
        <v>0.00</v>
      </c>
      <c r="P6" s="29" t="str">
        <f>"0,0000"</f>
        <v>0,0000</v>
      </c>
      <c r="Q6" s="28" t="s">
        <v>49</v>
      </c>
    </row>
    <row r="7" spans="1:17" ht="12.75">
      <c r="A7" s="74" t="s">
        <v>1079</v>
      </c>
      <c r="B7" s="31" t="s">
        <v>1078</v>
      </c>
      <c r="C7" s="31" t="s">
        <v>773</v>
      </c>
      <c r="D7" s="31" t="str">
        <f>"0,6235"</f>
        <v>0,6235</v>
      </c>
      <c r="E7" s="30" t="s">
        <v>25</v>
      </c>
      <c r="F7" s="30" t="s">
        <v>26</v>
      </c>
      <c r="G7" s="31" t="s">
        <v>1077</v>
      </c>
      <c r="H7" s="31" t="s">
        <v>194</v>
      </c>
      <c r="I7" s="22" t="s">
        <v>265</v>
      </c>
      <c r="J7" s="22"/>
      <c r="K7" s="31" t="s">
        <v>294</v>
      </c>
      <c r="L7" s="22" t="s">
        <v>115</v>
      </c>
      <c r="M7" s="22"/>
      <c r="N7" s="22"/>
      <c r="O7" s="74" t="str">
        <f>"145,0"</f>
        <v>145,0</v>
      </c>
      <c r="P7" s="31" t="str">
        <f>"90,4075"</f>
        <v>90,4075</v>
      </c>
      <c r="Q7" s="30" t="s">
        <v>49</v>
      </c>
    </row>
    <row r="9" spans="1:16" ht="15">
      <c r="A9" s="49" t="s">
        <v>20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7" ht="12.75">
      <c r="A10" s="62" t="s">
        <v>1076</v>
      </c>
      <c r="B10" s="27" t="s">
        <v>1043</v>
      </c>
      <c r="C10" s="27" t="s">
        <v>1035</v>
      </c>
      <c r="D10" s="27" t="str">
        <f>"0,5910"</f>
        <v>0,5910</v>
      </c>
      <c r="E10" s="26" t="s">
        <v>25</v>
      </c>
      <c r="F10" s="26" t="s">
        <v>385</v>
      </c>
      <c r="G10" s="10" t="s">
        <v>119</v>
      </c>
      <c r="H10" s="27" t="s">
        <v>141</v>
      </c>
      <c r="I10" s="27" t="s">
        <v>120</v>
      </c>
      <c r="J10" s="10"/>
      <c r="K10" s="27" t="s">
        <v>113</v>
      </c>
      <c r="L10" s="10" t="s">
        <v>114</v>
      </c>
      <c r="M10" s="27" t="s">
        <v>114</v>
      </c>
      <c r="N10" s="10"/>
      <c r="O10" s="62" t="str">
        <f>"145,0"</f>
        <v>145,0</v>
      </c>
      <c r="P10" s="27" t="str">
        <f>"85,6950"</f>
        <v>85,6950</v>
      </c>
      <c r="Q10" s="26" t="s">
        <v>49</v>
      </c>
    </row>
    <row r="12" spans="1:16" ht="15">
      <c r="A12" s="49" t="s">
        <v>37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7" ht="12.75">
      <c r="A13" s="78" t="s">
        <v>226</v>
      </c>
      <c r="B13" s="29" t="s">
        <v>227</v>
      </c>
      <c r="C13" s="29" t="s">
        <v>228</v>
      </c>
      <c r="D13" s="29" t="str">
        <f>"0,5701"</f>
        <v>0,5701</v>
      </c>
      <c r="E13" s="28" t="s">
        <v>25</v>
      </c>
      <c r="F13" s="28" t="s">
        <v>112</v>
      </c>
      <c r="G13" s="29" t="s">
        <v>119</v>
      </c>
      <c r="H13" s="29" t="s">
        <v>141</v>
      </c>
      <c r="I13" s="29" t="s">
        <v>265</v>
      </c>
      <c r="J13" s="19"/>
      <c r="K13" s="29" t="s">
        <v>114</v>
      </c>
      <c r="L13" s="29" t="s">
        <v>294</v>
      </c>
      <c r="M13" s="29" t="s">
        <v>119</v>
      </c>
      <c r="N13" s="19"/>
      <c r="O13" s="78" t="str">
        <f>"152,5"</f>
        <v>152,5</v>
      </c>
      <c r="P13" s="29" t="str">
        <f>"93,8955"</f>
        <v>93,8955</v>
      </c>
      <c r="Q13" s="28" t="s">
        <v>49</v>
      </c>
    </row>
    <row r="14" spans="1:17" ht="12.75">
      <c r="A14" s="77" t="s">
        <v>1075</v>
      </c>
      <c r="B14" s="76" t="s">
        <v>524</v>
      </c>
      <c r="C14" s="76" t="s">
        <v>351</v>
      </c>
      <c r="D14" s="76" t="str">
        <f>"0,5540"</f>
        <v>0,5540</v>
      </c>
      <c r="E14" s="75" t="s">
        <v>25</v>
      </c>
      <c r="F14" s="75" t="s">
        <v>408</v>
      </c>
      <c r="G14" s="76" t="s">
        <v>194</v>
      </c>
      <c r="H14" s="76" t="s">
        <v>71</v>
      </c>
      <c r="I14" s="76" t="s">
        <v>74</v>
      </c>
      <c r="J14" s="24"/>
      <c r="K14" s="76" t="s">
        <v>113</v>
      </c>
      <c r="L14" s="76" t="s">
        <v>114</v>
      </c>
      <c r="M14" s="76" t="s">
        <v>115</v>
      </c>
      <c r="N14" s="24"/>
      <c r="O14" s="77" t="str">
        <f>"167,5"</f>
        <v>167,5</v>
      </c>
      <c r="P14" s="76" t="str">
        <f>"92,7950"</f>
        <v>92,7950</v>
      </c>
      <c r="Q14" s="75" t="s">
        <v>49</v>
      </c>
    </row>
    <row r="15" spans="1:17" ht="12.75">
      <c r="A15" s="74" t="s">
        <v>1074</v>
      </c>
      <c r="B15" s="31" t="s">
        <v>1073</v>
      </c>
      <c r="C15" s="31" t="s">
        <v>1072</v>
      </c>
      <c r="D15" s="31" t="str">
        <f>"0,5578"</f>
        <v>0,5578</v>
      </c>
      <c r="E15" s="30" t="s">
        <v>111</v>
      </c>
      <c r="F15" s="30" t="s">
        <v>112</v>
      </c>
      <c r="G15" s="31" t="s">
        <v>294</v>
      </c>
      <c r="H15" s="22" t="s">
        <v>141</v>
      </c>
      <c r="I15" s="22"/>
      <c r="J15" s="22"/>
      <c r="K15" s="22" t="s">
        <v>360</v>
      </c>
      <c r="L15" s="31" t="s">
        <v>186</v>
      </c>
      <c r="M15" s="22" t="s">
        <v>115</v>
      </c>
      <c r="N15" s="22"/>
      <c r="O15" s="74" t="str">
        <f>"127,5"</f>
        <v>127,5</v>
      </c>
      <c r="P15" s="31" t="str">
        <f>"71,1195"</f>
        <v>71,1195</v>
      </c>
      <c r="Q15" s="30" t="s">
        <v>121</v>
      </c>
    </row>
    <row r="17" spans="1:16" ht="15">
      <c r="A17" s="49" t="s">
        <v>541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7" ht="12.75">
      <c r="A18" s="62" t="s">
        <v>1071</v>
      </c>
      <c r="B18" s="27" t="s">
        <v>1070</v>
      </c>
      <c r="C18" s="27" t="s">
        <v>1069</v>
      </c>
      <c r="D18" s="27" t="str">
        <f>"0,5371"</f>
        <v>0,5371</v>
      </c>
      <c r="E18" s="26" t="s">
        <v>25</v>
      </c>
      <c r="F18" s="26" t="s">
        <v>1068</v>
      </c>
      <c r="G18" s="27" t="s">
        <v>74</v>
      </c>
      <c r="H18" s="27" t="s">
        <v>497</v>
      </c>
      <c r="I18" s="27" t="s">
        <v>498</v>
      </c>
      <c r="J18" s="10"/>
      <c r="K18" s="27" t="s">
        <v>577</v>
      </c>
      <c r="L18" s="27" t="s">
        <v>113</v>
      </c>
      <c r="M18" s="10" t="s">
        <v>114</v>
      </c>
      <c r="N18" s="10"/>
      <c r="O18" s="62" t="str">
        <f>"165,0"</f>
        <v>165,0</v>
      </c>
      <c r="P18" s="27" t="str">
        <f>"88,6215"</f>
        <v>88,6215</v>
      </c>
      <c r="Q18" s="26" t="s">
        <v>455</v>
      </c>
    </row>
    <row r="20" ht="15">
      <c r="E20" s="6" t="s">
        <v>12</v>
      </c>
    </row>
    <row r="21" ht="15">
      <c r="E21" s="6" t="s">
        <v>13</v>
      </c>
    </row>
    <row r="22" ht="15">
      <c r="E22" s="6" t="s">
        <v>14</v>
      </c>
    </row>
    <row r="23" ht="15">
      <c r="E23" s="6" t="s">
        <v>15</v>
      </c>
    </row>
    <row r="24" ht="15">
      <c r="E24" s="6" t="s">
        <v>15</v>
      </c>
    </row>
    <row r="25" ht="15">
      <c r="E25" s="6" t="s">
        <v>16</v>
      </c>
    </row>
    <row r="26" ht="15">
      <c r="E26" s="6"/>
    </row>
    <row r="28" spans="1:2" ht="18">
      <c r="A28" s="61" t="s">
        <v>17</v>
      </c>
      <c r="B28" s="60"/>
    </row>
    <row r="29" spans="1:2" ht="15">
      <c r="A29" s="73" t="s">
        <v>61</v>
      </c>
      <c r="B29" s="33"/>
    </row>
    <row r="30" spans="1:2" ht="14.25">
      <c r="A30" s="72"/>
      <c r="B30" s="71" t="s">
        <v>274</v>
      </c>
    </row>
    <row r="31" spans="1:5" ht="15">
      <c r="A31" s="15" t="s">
        <v>63</v>
      </c>
      <c r="B31" s="15" t="s">
        <v>64</v>
      </c>
      <c r="C31" s="15" t="s">
        <v>65</v>
      </c>
      <c r="D31" s="15" t="s">
        <v>66</v>
      </c>
      <c r="E31" s="15" t="s">
        <v>67</v>
      </c>
    </row>
    <row r="32" spans="1:5" ht="12.75">
      <c r="A32" s="70" t="s">
        <v>225</v>
      </c>
      <c r="B32" s="58" t="s">
        <v>275</v>
      </c>
      <c r="C32" s="58" t="s">
        <v>74</v>
      </c>
      <c r="D32" s="58" t="s">
        <v>318</v>
      </c>
      <c r="E32" s="16" t="s">
        <v>1067</v>
      </c>
    </row>
    <row r="34" spans="1:5" s="58" customFormat="1" ht="14.25">
      <c r="A34" s="72"/>
      <c r="B34" s="71" t="s">
        <v>62</v>
      </c>
      <c r="E34" s="59"/>
    </row>
    <row r="35" spans="1:5" s="58" customFormat="1" ht="15">
      <c r="A35" s="15" t="s">
        <v>63</v>
      </c>
      <c r="B35" s="15" t="s">
        <v>64</v>
      </c>
      <c r="C35" s="15" t="s">
        <v>65</v>
      </c>
      <c r="D35" s="15" t="s">
        <v>66</v>
      </c>
      <c r="E35" s="15" t="s">
        <v>67</v>
      </c>
    </row>
    <row r="36" spans="1:5" s="58" customFormat="1" ht="12.75">
      <c r="A36" s="70" t="s">
        <v>522</v>
      </c>
      <c r="B36" s="58" t="s">
        <v>62</v>
      </c>
      <c r="C36" s="58" t="s">
        <v>74</v>
      </c>
      <c r="D36" s="58" t="s">
        <v>353</v>
      </c>
      <c r="E36" s="16" t="s">
        <v>1066</v>
      </c>
    </row>
    <row r="37" spans="1:5" s="58" customFormat="1" ht="12.75">
      <c r="A37" s="70" t="s">
        <v>1065</v>
      </c>
      <c r="B37" s="58" t="s">
        <v>62</v>
      </c>
      <c r="C37" s="58" t="s">
        <v>265</v>
      </c>
      <c r="D37" s="58" t="s">
        <v>352</v>
      </c>
      <c r="E37" s="16" t="s">
        <v>1064</v>
      </c>
    </row>
    <row r="38" spans="1:5" s="58" customFormat="1" ht="12.75">
      <c r="A38" s="70" t="s">
        <v>1063</v>
      </c>
      <c r="B38" s="58" t="s">
        <v>62</v>
      </c>
      <c r="C38" s="58" t="s">
        <v>497</v>
      </c>
      <c r="D38" s="58" t="s">
        <v>515</v>
      </c>
      <c r="E38" s="16" t="s">
        <v>1062</v>
      </c>
    </row>
    <row r="39" spans="1:5" s="58" customFormat="1" ht="12.75">
      <c r="A39" s="70" t="s">
        <v>1020</v>
      </c>
      <c r="B39" s="58" t="s">
        <v>62</v>
      </c>
      <c r="C39" s="58" t="s">
        <v>71</v>
      </c>
      <c r="D39" s="58" t="s">
        <v>352</v>
      </c>
      <c r="E39" s="16" t="s">
        <v>1061</v>
      </c>
    </row>
    <row r="40" spans="1:5" s="58" customFormat="1" ht="12.75">
      <c r="A40" s="70" t="s">
        <v>1060</v>
      </c>
      <c r="B40" s="58" t="s">
        <v>62</v>
      </c>
      <c r="C40" s="58" t="s">
        <v>74</v>
      </c>
      <c r="D40" s="58" t="s">
        <v>373</v>
      </c>
      <c r="E40" s="16" t="s">
        <v>1059</v>
      </c>
    </row>
  </sheetData>
  <sheetProtection/>
  <mergeCells count="16">
    <mergeCell ref="A1:Q2"/>
    <mergeCell ref="G3:J3"/>
    <mergeCell ref="K3:N3"/>
    <mergeCell ref="A3:A4"/>
    <mergeCell ref="B3:B4"/>
    <mergeCell ref="C3:C4"/>
    <mergeCell ref="A9:P9"/>
    <mergeCell ref="A12:P12"/>
    <mergeCell ref="A17:P17"/>
    <mergeCell ref="Q3:Q4"/>
    <mergeCell ref="F3:F4"/>
    <mergeCell ref="E3:E4"/>
    <mergeCell ref="A5:P5"/>
    <mergeCell ref="D3:D4"/>
    <mergeCell ref="O3:O4"/>
    <mergeCell ref="P3:P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9.75390625" style="5" bestFit="1" customWidth="1"/>
    <col min="7" max="7" width="6.625" style="4" bestFit="1" customWidth="1"/>
    <col min="8" max="8" width="5.625" style="4" bestFit="1" customWidth="1"/>
    <col min="9" max="9" width="6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40" t="s">
        <v>862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1</v>
      </c>
      <c r="H3" s="34"/>
      <c r="I3" s="34"/>
      <c r="J3" s="34"/>
      <c r="K3" s="34" t="s">
        <v>295</v>
      </c>
      <c r="L3" s="34" t="s">
        <v>6</v>
      </c>
      <c r="M3" s="36" t="s">
        <v>5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5"/>
      <c r="M4" s="37"/>
    </row>
    <row r="5" spans="1:12" ht="15">
      <c r="A5" s="38" t="s">
        <v>188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2.75">
      <c r="A6" s="8" t="s">
        <v>735</v>
      </c>
      <c r="B6" s="8" t="s">
        <v>736</v>
      </c>
      <c r="C6" s="8" t="s">
        <v>737</v>
      </c>
      <c r="D6" s="8" t="str">
        <f>"0,7311"</f>
        <v>0,7311</v>
      </c>
      <c r="E6" s="8" t="s">
        <v>25</v>
      </c>
      <c r="F6" s="8" t="s">
        <v>26</v>
      </c>
      <c r="G6" s="9" t="s">
        <v>30</v>
      </c>
      <c r="H6" s="10" t="s">
        <v>213</v>
      </c>
      <c r="I6" s="9" t="s">
        <v>31</v>
      </c>
      <c r="J6" s="10"/>
      <c r="K6" s="8" t="str">
        <f>"150,0"</f>
        <v>150,0</v>
      </c>
      <c r="L6" s="9" t="str">
        <f>"109,6725"</f>
        <v>109,6725</v>
      </c>
      <c r="M6" s="8" t="s">
        <v>49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  <row r="17" spans="1:2" ht="15">
      <c r="A17" s="11" t="s">
        <v>245</v>
      </c>
      <c r="B17" s="11"/>
    </row>
    <row r="18" spans="1:2" ht="14.25">
      <c r="A18" s="13"/>
      <c r="B18" s="14" t="s">
        <v>62</v>
      </c>
    </row>
    <row r="19" spans="1:5" ht="15">
      <c r="A19" s="15" t="s">
        <v>63</v>
      </c>
      <c r="B19" s="15" t="s">
        <v>64</v>
      </c>
      <c r="C19" s="15" t="s">
        <v>65</v>
      </c>
      <c r="D19" s="15" t="s">
        <v>66</v>
      </c>
      <c r="E19" s="15" t="s">
        <v>67</v>
      </c>
    </row>
    <row r="20" spans="1:5" ht="12.75">
      <c r="A20" s="12" t="s">
        <v>734</v>
      </c>
      <c r="B20" s="5" t="s">
        <v>62</v>
      </c>
      <c r="C20" s="5" t="s">
        <v>141</v>
      </c>
      <c r="D20" s="5" t="s">
        <v>213</v>
      </c>
      <c r="E20" s="16" t="s">
        <v>821</v>
      </c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17.25390625" style="5" bestFit="1" customWidth="1"/>
    <col min="7" max="8" width="5.625" style="4" bestFit="1" customWidth="1"/>
    <col min="9" max="9" width="2.1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40" t="s">
        <v>861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1</v>
      </c>
      <c r="H3" s="34"/>
      <c r="I3" s="34"/>
      <c r="J3" s="34"/>
      <c r="K3" s="34" t="s">
        <v>295</v>
      </c>
      <c r="L3" s="34" t="s">
        <v>6</v>
      </c>
      <c r="M3" s="36" t="s">
        <v>5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5"/>
      <c r="M4" s="37"/>
    </row>
    <row r="5" spans="1:12" ht="15">
      <c r="A5" s="38" t="s">
        <v>50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2.75">
      <c r="A6" s="8" t="s">
        <v>52</v>
      </c>
      <c r="B6" s="8" t="s">
        <v>53</v>
      </c>
      <c r="C6" s="8" t="s">
        <v>54</v>
      </c>
      <c r="D6" s="8" t="str">
        <f>"0,5314"</f>
        <v>0,5314</v>
      </c>
      <c r="E6" s="8" t="s">
        <v>25</v>
      </c>
      <c r="F6" s="8" t="s">
        <v>55</v>
      </c>
      <c r="G6" s="9" t="s">
        <v>89</v>
      </c>
      <c r="H6" s="9" t="s">
        <v>681</v>
      </c>
      <c r="I6" s="10"/>
      <c r="J6" s="10"/>
      <c r="K6" s="8" t="str">
        <f>"300,0"</f>
        <v>300,0</v>
      </c>
      <c r="L6" s="9" t="str">
        <f>"159,4200"</f>
        <v>159,4200</v>
      </c>
      <c r="M6" s="8" t="s">
        <v>49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  <row r="17" spans="1:2" ht="15">
      <c r="A17" s="11" t="s">
        <v>61</v>
      </c>
      <c r="B17" s="11"/>
    </row>
    <row r="18" spans="1:2" ht="14.25">
      <c r="A18" s="13"/>
      <c r="B18" s="14" t="s">
        <v>62</v>
      </c>
    </row>
    <row r="19" spans="1:5" ht="15">
      <c r="A19" s="15" t="s">
        <v>63</v>
      </c>
      <c r="B19" s="15" t="s">
        <v>64</v>
      </c>
      <c r="C19" s="15" t="s">
        <v>65</v>
      </c>
      <c r="D19" s="15" t="s">
        <v>66</v>
      </c>
      <c r="E19" s="15" t="s">
        <v>67</v>
      </c>
    </row>
    <row r="20" spans="1:5" ht="12.75">
      <c r="A20" s="12" t="s">
        <v>51</v>
      </c>
      <c r="B20" s="5" t="s">
        <v>62</v>
      </c>
      <c r="C20" s="5" t="s">
        <v>68</v>
      </c>
      <c r="D20" s="5" t="s">
        <v>681</v>
      </c>
      <c r="E20" s="16" t="s">
        <v>682</v>
      </c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7.875" style="5" bestFit="1" customWidth="1"/>
    <col min="7" max="8" width="6.625" style="4" bestFit="1" customWidth="1"/>
    <col min="9" max="9" width="2.1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40" t="s">
        <v>852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3</v>
      </c>
      <c r="H3" s="34"/>
      <c r="I3" s="34"/>
      <c r="J3" s="34"/>
      <c r="K3" s="34" t="s">
        <v>295</v>
      </c>
      <c r="L3" s="34" t="s">
        <v>6</v>
      </c>
      <c r="M3" s="36" t="s">
        <v>5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5"/>
      <c r="M4" s="37"/>
    </row>
    <row r="5" spans="1:12" ht="15">
      <c r="A5" s="38" t="s">
        <v>37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2.75">
      <c r="A6" s="8" t="s">
        <v>854</v>
      </c>
      <c r="B6" s="8" t="s">
        <v>855</v>
      </c>
      <c r="C6" s="8" t="s">
        <v>856</v>
      </c>
      <c r="D6" s="8" t="str">
        <f>"0,5594"</f>
        <v>0,5594</v>
      </c>
      <c r="E6" s="8" t="s">
        <v>25</v>
      </c>
      <c r="F6" s="8" t="s">
        <v>857</v>
      </c>
      <c r="G6" s="9" t="s">
        <v>57</v>
      </c>
      <c r="H6" s="9" t="s">
        <v>858</v>
      </c>
      <c r="I6" s="10"/>
      <c r="J6" s="10"/>
      <c r="K6" s="8" t="str">
        <f>"320,0"</f>
        <v>320,0</v>
      </c>
      <c r="L6" s="9" t="str">
        <f>"179,0080"</f>
        <v>179,0080</v>
      </c>
      <c r="M6" s="8" t="s">
        <v>49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  <row r="17" spans="1:2" ht="15">
      <c r="A17" s="11" t="s">
        <v>61</v>
      </c>
      <c r="B17" s="11"/>
    </row>
    <row r="18" spans="1:2" ht="14.25">
      <c r="A18" s="13"/>
      <c r="B18" s="14" t="s">
        <v>62</v>
      </c>
    </row>
    <row r="19" spans="1:5" ht="15">
      <c r="A19" s="15" t="s">
        <v>63</v>
      </c>
      <c r="B19" s="15" t="s">
        <v>64</v>
      </c>
      <c r="C19" s="15" t="s">
        <v>65</v>
      </c>
      <c r="D19" s="15" t="s">
        <v>66</v>
      </c>
      <c r="E19" s="15" t="s">
        <v>67</v>
      </c>
    </row>
    <row r="20" spans="1:5" ht="12.75">
      <c r="A20" s="12" t="s">
        <v>853</v>
      </c>
      <c r="B20" s="5" t="s">
        <v>62</v>
      </c>
      <c r="C20" s="5" t="s">
        <v>74</v>
      </c>
      <c r="D20" s="5" t="s">
        <v>859</v>
      </c>
      <c r="E20" s="16" t="s">
        <v>860</v>
      </c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6.25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29.75390625" style="5" bestFit="1" customWidth="1"/>
    <col min="7" max="9" width="6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8.875" style="5" bestFit="1" customWidth="1"/>
    <col min="14" max="16384" width="9.125" style="4" customWidth="1"/>
  </cols>
  <sheetData>
    <row r="1" spans="1:13" s="3" customFormat="1" ht="28.5" customHeight="1">
      <c r="A1" s="40" t="s">
        <v>848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3</v>
      </c>
      <c r="H3" s="34"/>
      <c r="I3" s="34"/>
      <c r="J3" s="34"/>
      <c r="K3" s="34" t="s">
        <v>295</v>
      </c>
      <c r="L3" s="34" t="s">
        <v>6</v>
      </c>
      <c r="M3" s="36" t="s">
        <v>5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5"/>
      <c r="M4" s="37"/>
    </row>
    <row r="5" spans="1:12" ht="15">
      <c r="A5" s="38" t="s">
        <v>50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2.75">
      <c r="A6" s="8" t="s">
        <v>849</v>
      </c>
      <c r="B6" s="8" t="s">
        <v>562</v>
      </c>
      <c r="C6" s="8" t="s">
        <v>563</v>
      </c>
      <c r="D6" s="8" t="str">
        <f>"0,5241"</f>
        <v>0,5241</v>
      </c>
      <c r="E6" s="8" t="s">
        <v>25</v>
      </c>
      <c r="F6" s="8" t="s">
        <v>26</v>
      </c>
      <c r="G6" s="9" t="s">
        <v>850</v>
      </c>
      <c r="H6" s="9" t="s">
        <v>86</v>
      </c>
      <c r="I6" s="9" t="s">
        <v>34</v>
      </c>
      <c r="J6" s="10"/>
      <c r="K6" s="8" t="str">
        <f>"255,0"</f>
        <v>255,0</v>
      </c>
      <c r="L6" s="9" t="str">
        <f>"133,6455"</f>
        <v>133,6455</v>
      </c>
      <c r="M6" s="8" t="s">
        <v>49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  <row r="17" spans="1:2" ht="15">
      <c r="A17" s="11" t="s">
        <v>61</v>
      </c>
      <c r="B17" s="11"/>
    </row>
    <row r="18" spans="1:2" ht="14.25">
      <c r="A18" s="13"/>
      <c r="B18" s="14" t="s">
        <v>62</v>
      </c>
    </row>
    <row r="19" spans="1:5" ht="15">
      <c r="A19" s="15" t="s">
        <v>63</v>
      </c>
      <c r="B19" s="15" t="s">
        <v>64</v>
      </c>
      <c r="C19" s="15" t="s">
        <v>65</v>
      </c>
      <c r="D19" s="15" t="s">
        <v>66</v>
      </c>
      <c r="E19" s="15" t="s">
        <v>67</v>
      </c>
    </row>
    <row r="20" spans="1:5" ht="12.75">
      <c r="A20" s="12" t="s">
        <v>560</v>
      </c>
      <c r="B20" s="5" t="s">
        <v>62</v>
      </c>
      <c r="C20" s="5" t="s">
        <v>68</v>
      </c>
      <c r="D20" s="5" t="s">
        <v>261</v>
      </c>
      <c r="E20" s="16" t="s">
        <v>851</v>
      </c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9.00390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38.125" style="5" bestFit="1" customWidth="1"/>
    <col min="7" max="9" width="6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7.625" style="5" bestFit="1" customWidth="1"/>
    <col min="14" max="16384" width="9.125" style="4" customWidth="1"/>
  </cols>
  <sheetData>
    <row r="1" spans="1:13" s="3" customFormat="1" ht="28.5" customHeight="1">
      <c r="A1" s="40" t="s">
        <v>701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3</v>
      </c>
      <c r="H3" s="34"/>
      <c r="I3" s="34"/>
      <c r="J3" s="34"/>
      <c r="K3" s="34" t="s">
        <v>295</v>
      </c>
      <c r="L3" s="34" t="s">
        <v>6</v>
      </c>
      <c r="M3" s="36" t="s">
        <v>5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5"/>
      <c r="M4" s="37"/>
    </row>
    <row r="5" spans="1:12" ht="15">
      <c r="A5" s="38" t="s">
        <v>106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2.75">
      <c r="A6" s="17" t="s">
        <v>108</v>
      </c>
      <c r="B6" s="17" t="s">
        <v>109</v>
      </c>
      <c r="C6" s="17" t="s">
        <v>110</v>
      </c>
      <c r="D6" s="17" t="str">
        <f>"0,9927"</f>
        <v>0,9927</v>
      </c>
      <c r="E6" s="17" t="s">
        <v>111</v>
      </c>
      <c r="F6" s="17" t="s">
        <v>112</v>
      </c>
      <c r="G6" s="18" t="s">
        <v>119</v>
      </c>
      <c r="H6" s="18" t="s">
        <v>120</v>
      </c>
      <c r="I6" s="19" t="s">
        <v>71</v>
      </c>
      <c r="J6" s="19"/>
      <c r="K6" s="17" t="str">
        <f>"85,0"</f>
        <v>85,0</v>
      </c>
      <c r="L6" s="18" t="str">
        <f>"103,7868"</f>
        <v>103,7868</v>
      </c>
      <c r="M6" s="17" t="s">
        <v>121</v>
      </c>
    </row>
    <row r="7" spans="1:13" ht="12.75">
      <c r="A7" s="23" t="s">
        <v>703</v>
      </c>
      <c r="B7" s="23" t="s">
        <v>704</v>
      </c>
      <c r="C7" s="23" t="s">
        <v>705</v>
      </c>
      <c r="D7" s="23" t="str">
        <f>"0,9848"</f>
        <v>0,9848</v>
      </c>
      <c r="E7" s="23" t="s">
        <v>25</v>
      </c>
      <c r="F7" s="23" t="s">
        <v>397</v>
      </c>
      <c r="G7" s="25" t="s">
        <v>324</v>
      </c>
      <c r="H7" s="24" t="s">
        <v>203</v>
      </c>
      <c r="I7" s="24" t="s">
        <v>203</v>
      </c>
      <c r="J7" s="24"/>
      <c r="K7" s="23" t="str">
        <f>"127,5"</f>
        <v>127,5</v>
      </c>
      <c r="L7" s="25" t="str">
        <f>"125,5620"</f>
        <v>125,5620</v>
      </c>
      <c r="M7" s="23" t="s">
        <v>706</v>
      </c>
    </row>
    <row r="8" spans="1:13" ht="12.75">
      <c r="A8" s="23" t="s">
        <v>708</v>
      </c>
      <c r="B8" s="23" t="s">
        <v>709</v>
      </c>
      <c r="C8" s="23" t="s">
        <v>710</v>
      </c>
      <c r="D8" s="23" t="str">
        <f>"0,9770"</f>
        <v>0,9770</v>
      </c>
      <c r="E8" s="23" t="s">
        <v>25</v>
      </c>
      <c r="F8" s="23" t="s">
        <v>26</v>
      </c>
      <c r="G8" s="25" t="s">
        <v>105</v>
      </c>
      <c r="H8" s="25" t="s">
        <v>711</v>
      </c>
      <c r="I8" s="24" t="s">
        <v>154</v>
      </c>
      <c r="J8" s="24"/>
      <c r="K8" s="23" t="str">
        <f>"102,5"</f>
        <v>102,5</v>
      </c>
      <c r="L8" s="25" t="str">
        <f>"101,1439"</f>
        <v>101,1439</v>
      </c>
      <c r="M8" s="23" t="s">
        <v>49</v>
      </c>
    </row>
    <row r="9" spans="1:13" ht="12.75">
      <c r="A9" s="20" t="s">
        <v>713</v>
      </c>
      <c r="B9" s="20" t="s">
        <v>714</v>
      </c>
      <c r="C9" s="20" t="s">
        <v>715</v>
      </c>
      <c r="D9" s="20" t="str">
        <f>"0,9708"</f>
        <v>0,9708</v>
      </c>
      <c r="E9" s="20" t="s">
        <v>25</v>
      </c>
      <c r="F9" s="20" t="s">
        <v>26</v>
      </c>
      <c r="G9" s="21" t="s">
        <v>99</v>
      </c>
      <c r="H9" s="21" t="s">
        <v>716</v>
      </c>
      <c r="I9" s="21" t="s">
        <v>71</v>
      </c>
      <c r="J9" s="22"/>
      <c r="K9" s="20" t="str">
        <f>"90,0"</f>
        <v>90,0</v>
      </c>
      <c r="L9" s="21" t="str">
        <f>"87,3765"</f>
        <v>87,3765</v>
      </c>
      <c r="M9" s="20" t="s">
        <v>49</v>
      </c>
    </row>
    <row r="11" spans="1:12" ht="15">
      <c r="A11" s="49" t="s">
        <v>133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17" t="s">
        <v>135</v>
      </c>
      <c r="B12" s="17" t="s">
        <v>136</v>
      </c>
      <c r="C12" s="17" t="s">
        <v>137</v>
      </c>
      <c r="D12" s="17" t="str">
        <f>"0,9124"</f>
        <v>0,9124</v>
      </c>
      <c r="E12" s="17" t="s">
        <v>25</v>
      </c>
      <c r="F12" s="17" t="s">
        <v>138</v>
      </c>
      <c r="G12" s="18" t="s">
        <v>99</v>
      </c>
      <c r="H12" s="18" t="s">
        <v>71</v>
      </c>
      <c r="I12" s="19" t="s">
        <v>145</v>
      </c>
      <c r="J12" s="19"/>
      <c r="K12" s="17" t="str">
        <f>"90,0"</f>
        <v>90,0</v>
      </c>
      <c r="L12" s="18" t="str">
        <f>"87,0430"</f>
        <v>87,0430</v>
      </c>
      <c r="M12" s="17" t="s">
        <v>49</v>
      </c>
    </row>
    <row r="13" spans="1:13" ht="12.75">
      <c r="A13" s="23" t="s">
        <v>718</v>
      </c>
      <c r="B13" s="23" t="s">
        <v>719</v>
      </c>
      <c r="C13" s="23" t="s">
        <v>720</v>
      </c>
      <c r="D13" s="23" t="str">
        <f>"0,9383"</f>
        <v>0,9383</v>
      </c>
      <c r="E13" s="23" t="s">
        <v>25</v>
      </c>
      <c r="F13" s="23" t="s">
        <v>397</v>
      </c>
      <c r="G13" s="25" t="s">
        <v>164</v>
      </c>
      <c r="H13" s="24" t="s">
        <v>203</v>
      </c>
      <c r="I13" s="24" t="s">
        <v>203</v>
      </c>
      <c r="J13" s="24"/>
      <c r="K13" s="23" t="str">
        <f>"125,0"</f>
        <v>125,0</v>
      </c>
      <c r="L13" s="25" t="str">
        <f>"117,2875"</f>
        <v>117,2875</v>
      </c>
      <c r="M13" s="23" t="s">
        <v>49</v>
      </c>
    </row>
    <row r="14" spans="1:13" ht="12.75">
      <c r="A14" s="23" t="s">
        <v>722</v>
      </c>
      <c r="B14" s="23" t="s">
        <v>723</v>
      </c>
      <c r="C14" s="23" t="s">
        <v>724</v>
      </c>
      <c r="D14" s="23" t="str">
        <f>"0,9215"</f>
        <v>0,9215</v>
      </c>
      <c r="E14" s="23" t="s">
        <v>25</v>
      </c>
      <c r="F14" s="23" t="s">
        <v>397</v>
      </c>
      <c r="G14" s="25" t="s">
        <v>131</v>
      </c>
      <c r="H14" s="25" t="s">
        <v>497</v>
      </c>
      <c r="I14" s="25" t="s">
        <v>341</v>
      </c>
      <c r="J14" s="24"/>
      <c r="K14" s="23" t="str">
        <f>"120,0"</f>
        <v>120,0</v>
      </c>
      <c r="L14" s="25" t="str">
        <f>"110,5800"</f>
        <v>110,5800</v>
      </c>
      <c r="M14" s="23" t="s">
        <v>49</v>
      </c>
    </row>
    <row r="15" spans="1:13" ht="12.75">
      <c r="A15" s="23" t="s">
        <v>726</v>
      </c>
      <c r="B15" s="23" t="s">
        <v>727</v>
      </c>
      <c r="C15" s="23" t="s">
        <v>728</v>
      </c>
      <c r="D15" s="23" t="str">
        <f>"0,9201"</f>
        <v>0,9201</v>
      </c>
      <c r="E15" s="23" t="s">
        <v>25</v>
      </c>
      <c r="F15" s="23" t="s">
        <v>397</v>
      </c>
      <c r="G15" s="25" t="s">
        <v>195</v>
      </c>
      <c r="H15" s="24" t="s">
        <v>373</v>
      </c>
      <c r="I15" s="24" t="s">
        <v>373</v>
      </c>
      <c r="J15" s="24"/>
      <c r="K15" s="23" t="str">
        <f>"120,0"</f>
        <v>120,0</v>
      </c>
      <c r="L15" s="25" t="str">
        <f>"110,4120"</f>
        <v>110,4120</v>
      </c>
      <c r="M15" s="23" t="s">
        <v>49</v>
      </c>
    </row>
    <row r="16" spans="1:13" ht="12.75">
      <c r="A16" s="20" t="s">
        <v>729</v>
      </c>
      <c r="B16" s="20" t="s">
        <v>148</v>
      </c>
      <c r="C16" s="20" t="s">
        <v>149</v>
      </c>
      <c r="D16" s="20" t="str">
        <f>"0,9326"</f>
        <v>0,9326</v>
      </c>
      <c r="E16" s="20" t="s">
        <v>25</v>
      </c>
      <c r="F16" s="20" t="s">
        <v>138</v>
      </c>
      <c r="G16" s="22" t="s">
        <v>145</v>
      </c>
      <c r="H16" s="22"/>
      <c r="I16" s="22"/>
      <c r="J16" s="22"/>
      <c r="K16" s="20" t="str">
        <f>"0.00"</f>
        <v>0.00</v>
      </c>
      <c r="L16" s="21" t="str">
        <f>"0,0000"</f>
        <v>0,0000</v>
      </c>
      <c r="M16" s="20" t="s">
        <v>49</v>
      </c>
    </row>
    <row r="18" spans="1:12" ht="15">
      <c r="A18" s="49" t="s">
        <v>155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3" ht="12.75">
      <c r="A19" s="17" t="s">
        <v>157</v>
      </c>
      <c r="B19" s="17" t="s">
        <v>158</v>
      </c>
      <c r="C19" s="17" t="s">
        <v>159</v>
      </c>
      <c r="D19" s="17" t="str">
        <f>"0,8609"</f>
        <v>0,8609</v>
      </c>
      <c r="E19" s="17" t="s">
        <v>25</v>
      </c>
      <c r="F19" s="17" t="s">
        <v>26</v>
      </c>
      <c r="G19" s="18" t="s">
        <v>164</v>
      </c>
      <c r="H19" s="18" t="s">
        <v>203</v>
      </c>
      <c r="I19" s="18" t="s">
        <v>242</v>
      </c>
      <c r="J19" s="19"/>
      <c r="K19" s="17" t="str">
        <f>"140,0"</f>
        <v>140,0</v>
      </c>
      <c r="L19" s="18" t="str">
        <f>"120,5260"</f>
        <v>120,5260</v>
      </c>
      <c r="M19" s="17" t="s">
        <v>49</v>
      </c>
    </row>
    <row r="20" spans="1:13" ht="12.75">
      <c r="A20" s="20" t="s">
        <v>731</v>
      </c>
      <c r="B20" s="20" t="s">
        <v>732</v>
      </c>
      <c r="C20" s="20" t="s">
        <v>159</v>
      </c>
      <c r="D20" s="20" t="str">
        <f>"0,8609"</f>
        <v>0,8609</v>
      </c>
      <c r="E20" s="20" t="s">
        <v>25</v>
      </c>
      <c r="F20" s="20" t="s">
        <v>733</v>
      </c>
      <c r="G20" s="21" t="s">
        <v>193</v>
      </c>
      <c r="H20" s="21" t="s">
        <v>99</v>
      </c>
      <c r="I20" s="21" t="s">
        <v>150</v>
      </c>
      <c r="J20" s="22"/>
      <c r="K20" s="20" t="str">
        <f>"85,0"</f>
        <v>85,0</v>
      </c>
      <c r="L20" s="21" t="str">
        <f>"73,1765"</f>
        <v>73,1765</v>
      </c>
      <c r="M20" s="20" t="s">
        <v>49</v>
      </c>
    </row>
    <row r="22" spans="1:12" ht="15">
      <c r="A22" s="49" t="s">
        <v>188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3" ht="12.75">
      <c r="A23" s="17" t="s">
        <v>735</v>
      </c>
      <c r="B23" s="17" t="s">
        <v>736</v>
      </c>
      <c r="C23" s="17" t="s">
        <v>737</v>
      </c>
      <c r="D23" s="17" t="str">
        <f>"0,7311"</f>
        <v>0,7311</v>
      </c>
      <c r="E23" s="17" t="s">
        <v>25</v>
      </c>
      <c r="F23" s="17" t="s">
        <v>26</v>
      </c>
      <c r="G23" s="18" t="s">
        <v>165</v>
      </c>
      <c r="H23" s="18" t="s">
        <v>229</v>
      </c>
      <c r="I23" s="18" t="s">
        <v>31</v>
      </c>
      <c r="J23" s="19"/>
      <c r="K23" s="17" t="str">
        <f>"150,0"</f>
        <v>150,0</v>
      </c>
      <c r="L23" s="18" t="str">
        <f>"109,6725"</f>
        <v>109,6725</v>
      </c>
      <c r="M23" s="17" t="s">
        <v>49</v>
      </c>
    </row>
    <row r="24" spans="1:13" ht="12.75">
      <c r="A24" s="20" t="s">
        <v>739</v>
      </c>
      <c r="B24" s="20" t="s">
        <v>740</v>
      </c>
      <c r="C24" s="20" t="s">
        <v>200</v>
      </c>
      <c r="D24" s="20" t="str">
        <f>"0,7219"</f>
        <v>0,7219</v>
      </c>
      <c r="E24" s="20" t="s">
        <v>25</v>
      </c>
      <c r="F24" s="20" t="s">
        <v>733</v>
      </c>
      <c r="G24" s="21" t="s">
        <v>105</v>
      </c>
      <c r="H24" s="21" t="s">
        <v>130</v>
      </c>
      <c r="I24" s="21" t="s">
        <v>160</v>
      </c>
      <c r="J24" s="22"/>
      <c r="K24" s="20" t="str">
        <f>"100,0"</f>
        <v>100,0</v>
      </c>
      <c r="L24" s="21" t="str">
        <f>"73,4945"</f>
        <v>73,4945</v>
      </c>
      <c r="M24" s="20" t="s">
        <v>49</v>
      </c>
    </row>
    <row r="26" spans="1:12" ht="15">
      <c r="A26" s="49" t="s">
        <v>180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3" ht="12.75">
      <c r="A27" s="8" t="s">
        <v>742</v>
      </c>
      <c r="B27" s="8" t="s">
        <v>743</v>
      </c>
      <c r="C27" s="8" t="s">
        <v>744</v>
      </c>
      <c r="D27" s="8" t="str">
        <f>"0,6895"</f>
        <v>0,6895</v>
      </c>
      <c r="E27" s="8" t="s">
        <v>25</v>
      </c>
      <c r="F27" s="8" t="s">
        <v>745</v>
      </c>
      <c r="G27" s="9" t="s">
        <v>152</v>
      </c>
      <c r="H27" s="9" t="s">
        <v>162</v>
      </c>
      <c r="I27" s="9" t="s">
        <v>746</v>
      </c>
      <c r="J27" s="10"/>
      <c r="K27" s="8" t="str">
        <f>"117,5"</f>
        <v>117,5</v>
      </c>
      <c r="L27" s="9" t="str">
        <f>"83,5278"</f>
        <v>83,5278</v>
      </c>
      <c r="M27" s="8" t="s">
        <v>49</v>
      </c>
    </row>
    <row r="29" spans="1:12" ht="15">
      <c r="A29" s="49" t="s">
        <v>434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3" ht="12.75">
      <c r="A30" s="8" t="s">
        <v>436</v>
      </c>
      <c r="B30" s="8" t="s">
        <v>437</v>
      </c>
      <c r="C30" s="8" t="s">
        <v>438</v>
      </c>
      <c r="D30" s="8" t="str">
        <f>"0,5898"</f>
        <v>0,5898</v>
      </c>
      <c r="E30" s="8" t="s">
        <v>25</v>
      </c>
      <c r="F30" s="8" t="s">
        <v>439</v>
      </c>
      <c r="G30" s="9" t="s">
        <v>30</v>
      </c>
      <c r="H30" s="9" t="s">
        <v>31</v>
      </c>
      <c r="I30" s="9" t="s">
        <v>214</v>
      </c>
      <c r="J30" s="10"/>
      <c r="K30" s="8" t="str">
        <f>"155,0"</f>
        <v>155,0</v>
      </c>
      <c r="L30" s="9" t="str">
        <f>"91,4190"</f>
        <v>91,4190</v>
      </c>
      <c r="M30" s="8" t="s">
        <v>49</v>
      </c>
    </row>
    <row r="32" spans="1:12" ht="15">
      <c r="A32" s="49" t="s">
        <v>155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3" ht="12.75">
      <c r="A33" s="8" t="s">
        <v>748</v>
      </c>
      <c r="B33" s="8" t="s">
        <v>749</v>
      </c>
      <c r="C33" s="8" t="s">
        <v>169</v>
      </c>
      <c r="D33" s="8" t="str">
        <f>"0,8242"</f>
        <v>0,8242</v>
      </c>
      <c r="E33" s="8" t="s">
        <v>25</v>
      </c>
      <c r="F33" s="8" t="s">
        <v>347</v>
      </c>
      <c r="G33" s="9" t="s">
        <v>402</v>
      </c>
      <c r="H33" s="9" t="s">
        <v>103</v>
      </c>
      <c r="I33" s="9" t="s">
        <v>163</v>
      </c>
      <c r="J33" s="10"/>
      <c r="K33" s="8" t="str">
        <f>"60,0"</f>
        <v>60,0</v>
      </c>
      <c r="L33" s="9" t="str">
        <f>"60,8260"</f>
        <v>60,8260</v>
      </c>
      <c r="M33" s="8" t="s">
        <v>49</v>
      </c>
    </row>
    <row r="35" spans="1:12" ht="15">
      <c r="A35" s="49" t="s">
        <v>188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3" ht="12.75">
      <c r="A36" s="17" t="s">
        <v>751</v>
      </c>
      <c r="B36" s="17" t="s">
        <v>752</v>
      </c>
      <c r="C36" s="17" t="s">
        <v>753</v>
      </c>
      <c r="D36" s="17" t="str">
        <f>"0,6782"</f>
        <v>0,6782</v>
      </c>
      <c r="E36" s="17" t="s">
        <v>25</v>
      </c>
      <c r="F36" s="17" t="s">
        <v>754</v>
      </c>
      <c r="G36" s="18" t="s">
        <v>58</v>
      </c>
      <c r="H36" s="18" t="s">
        <v>43</v>
      </c>
      <c r="I36" s="18" t="s">
        <v>628</v>
      </c>
      <c r="J36" s="19"/>
      <c r="K36" s="17" t="str">
        <f>"190,0"</f>
        <v>190,0</v>
      </c>
      <c r="L36" s="18" t="str">
        <f>"128,8580"</f>
        <v>128,8580</v>
      </c>
      <c r="M36" s="17" t="s">
        <v>49</v>
      </c>
    </row>
    <row r="37" spans="1:13" ht="12.75">
      <c r="A37" s="20" t="s">
        <v>756</v>
      </c>
      <c r="B37" s="20" t="s">
        <v>757</v>
      </c>
      <c r="C37" s="20" t="s">
        <v>758</v>
      </c>
      <c r="D37" s="20" t="str">
        <f>"0,6730"</f>
        <v>0,6730</v>
      </c>
      <c r="E37" s="20" t="s">
        <v>25</v>
      </c>
      <c r="F37" s="20" t="s">
        <v>170</v>
      </c>
      <c r="G37" s="21" t="s">
        <v>759</v>
      </c>
      <c r="H37" s="21" t="s">
        <v>330</v>
      </c>
      <c r="I37" s="22" t="s">
        <v>27</v>
      </c>
      <c r="J37" s="22"/>
      <c r="K37" s="20" t="str">
        <f>"170,0"</f>
        <v>170,0</v>
      </c>
      <c r="L37" s="21" t="str">
        <f>"114,4100"</f>
        <v>114,4100</v>
      </c>
      <c r="M37" s="20" t="s">
        <v>49</v>
      </c>
    </row>
    <row r="39" spans="1:12" ht="15">
      <c r="A39" s="49" t="s">
        <v>180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3" ht="12.75">
      <c r="A40" s="17" t="s">
        <v>208</v>
      </c>
      <c r="B40" s="17" t="s">
        <v>209</v>
      </c>
      <c r="C40" s="17" t="s">
        <v>210</v>
      </c>
      <c r="D40" s="17" t="str">
        <f>"0,6399"</f>
        <v>0,6399</v>
      </c>
      <c r="E40" s="17" t="s">
        <v>25</v>
      </c>
      <c r="F40" s="17" t="s">
        <v>112</v>
      </c>
      <c r="G40" s="18" t="s">
        <v>212</v>
      </c>
      <c r="H40" s="19" t="s">
        <v>213</v>
      </c>
      <c r="I40" s="18" t="s">
        <v>364</v>
      </c>
      <c r="J40" s="19"/>
      <c r="K40" s="17" t="str">
        <f>"155,0"</f>
        <v>155,0</v>
      </c>
      <c r="L40" s="18" t="str">
        <f>"121,9969"</f>
        <v>121,9969</v>
      </c>
      <c r="M40" s="17" t="s">
        <v>49</v>
      </c>
    </row>
    <row r="41" spans="1:13" ht="12.75">
      <c r="A41" s="23" t="s">
        <v>761</v>
      </c>
      <c r="B41" s="23" t="s">
        <v>762</v>
      </c>
      <c r="C41" s="23" t="s">
        <v>763</v>
      </c>
      <c r="D41" s="23" t="str">
        <f>"0,6224"</f>
        <v>0,6224</v>
      </c>
      <c r="E41" s="23" t="s">
        <v>25</v>
      </c>
      <c r="F41" s="23" t="s">
        <v>26</v>
      </c>
      <c r="G41" s="25" t="s">
        <v>205</v>
      </c>
      <c r="H41" s="25" t="s">
        <v>48</v>
      </c>
      <c r="I41" s="24" t="s">
        <v>223</v>
      </c>
      <c r="J41" s="24"/>
      <c r="K41" s="23" t="str">
        <f>"230,0"</f>
        <v>230,0</v>
      </c>
      <c r="L41" s="25" t="str">
        <f>"147,4466"</f>
        <v>147,4466</v>
      </c>
      <c r="M41" s="23" t="s">
        <v>49</v>
      </c>
    </row>
    <row r="42" spans="1:13" ht="12.75">
      <c r="A42" s="23" t="s">
        <v>765</v>
      </c>
      <c r="B42" s="23" t="s">
        <v>766</v>
      </c>
      <c r="C42" s="23" t="s">
        <v>767</v>
      </c>
      <c r="D42" s="23" t="str">
        <f>"0,6295"</f>
        <v>0,6295</v>
      </c>
      <c r="E42" s="23" t="s">
        <v>111</v>
      </c>
      <c r="F42" s="23" t="s">
        <v>112</v>
      </c>
      <c r="G42" s="25" t="s">
        <v>252</v>
      </c>
      <c r="H42" s="25" t="s">
        <v>768</v>
      </c>
      <c r="I42" s="25" t="s">
        <v>769</v>
      </c>
      <c r="J42" s="24"/>
      <c r="K42" s="23" t="str">
        <f>"225,0"</f>
        <v>225,0</v>
      </c>
      <c r="L42" s="25" t="str">
        <f>"145,8866"</f>
        <v>145,8866</v>
      </c>
      <c r="M42" s="23" t="s">
        <v>121</v>
      </c>
    </row>
    <row r="43" spans="1:13" ht="12.75">
      <c r="A43" s="23" t="s">
        <v>771</v>
      </c>
      <c r="B43" s="23" t="s">
        <v>772</v>
      </c>
      <c r="C43" s="23" t="s">
        <v>773</v>
      </c>
      <c r="D43" s="23" t="str">
        <f>"0,6235"</f>
        <v>0,6235</v>
      </c>
      <c r="E43" s="23" t="s">
        <v>111</v>
      </c>
      <c r="F43" s="23" t="s">
        <v>112</v>
      </c>
      <c r="G43" s="25" t="s">
        <v>252</v>
      </c>
      <c r="H43" s="24" t="s">
        <v>768</v>
      </c>
      <c r="I43" s="24" t="s">
        <v>768</v>
      </c>
      <c r="J43" s="24"/>
      <c r="K43" s="23" t="str">
        <f>"197,5"</f>
        <v>197,5</v>
      </c>
      <c r="L43" s="25" t="str">
        <f>"123,1412"</f>
        <v>123,1412</v>
      </c>
      <c r="M43" s="23" t="s">
        <v>121</v>
      </c>
    </row>
    <row r="44" spans="1:13" ht="12.75">
      <c r="A44" s="23" t="s">
        <v>216</v>
      </c>
      <c r="B44" s="23" t="s">
        <v>217</v>
      </c>
      <c r="C44" s="23" t="s">
        <v>218</v>
      </c>
      <c r="D44" s="23" t="str">
        <f>"0,6273"</f>
        <v>0,6273</v>
      </c>
      <c r="E44" s="23" t="s">
        <v>25</v>
      </c>
      <c r="F44" s="23" t="s">
        <v>126</v>
      </c>
      <c r="G44" s="25" t="s">
        <v>769</v>
      </c>
      <c r="H44" s="24" t="s">
        <v>223</v>
      </c>
      <c r="I44" s="25" t="s">
        <v>224</v>
      </c>
      <c r="J44" s="24"/>
      <c r="K44" s="23" t="str">
        <f>"237,5"</f>
        <v>237,5</v>
      </c>
      <c r="L44" s="25" t="str">
        <f>"148,9838"</f>
        <v>148,9838</v>
      </c>
      <c r="M44" s="23" t="s">
        <v>49</v>
      </c>
    </row>
    <row r="45" spans="1:13" ht="12.75">
      <c r="A45" s="23" t="s">
        <v>765</v>
      </c>
      <c r="B45" s="23" t="s">
        <v>774</v>
      </c>
      <c r="C45" s="23" t="s">
        <v>767</v>
      </c>
      <c r="D45" s="23" t="str">
        <f>"0,6295"</f>
        <v>0,6295</v>
      </c>
      <c r="E45" s="23" t="s">
        <v>111</v>
      </c>
      <c r="F45" s="23" t="s">
        <v>112</v>
      </c>
      <c r="G45" s="25" t="s">
        <v>252</v>
      </c>
      <c r="H45" s="25" t="s">
        <v>768</v>
      </c>
      <c r="I45" s="25" t="s">
        <v>769</v>
      </c>
      <c r="J45" s="24"/>
      <c r="K45" s="23" t="str">
        <f>"225,0"</f>
        <v>225,0</v>
      </c>
      <c r="L45" s="25" t="str">
        <f>"141,6375"</f>
        <v>141,6375</v>
      </c>
      <c r="M45" s="23" t="s">
        <v>121</v>
      </c>
    </row>
    <row r="46" spans="1:13" ht="12.75">
      <c r="A46" s="20" t="s">
        <v>776</v>
      </c>
      <c r="B46" s="20" t="s">
        <v>777</v>
      </c>
      <c r="C46" s="20" t="s">
        <v>778</v>
      </c>
      <c r="D46" s="20" t="str">
        <f>"0,6418"</f>
        <v>0,6418</v>
      </c>
      <c r="E46" s="20" t="s">
        <v>25</v>
      </c>
      <c r="F46" s="20" t="s">
        <v>26</v>
      </c>
      <c r="G46" s="21" t="s">
        <v>219</v>
      </c>
      <c r="H46" s="21" t="s">
        <v>43</v>
      </c>
      <c r="I46" s="22" t="s">
        <v>243</v>
      </c>
      <c r="J46" s="22"/>
      <c r="K46" s="20" t="str">
        <f>"180,0"</f>
        <v>180,0</v>
      </c>
      <c r="L46" s="21" t="str">
        <f>"196,3908"</f>
        <v>196,3908</v>
      </c>
      <c r="M46" s="20" t="s">
        <v>49</v>
      </c>
    </row>
    <row r="48" spans="1:12" ht="15">
      <c r="A48" s="49" t="s">
        <v>20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3" ht="12.75">
      <c r="A49" s="17" t="s">
        <v>780</v>
      </c>
      <c r="B49" s="17" t="s">
        <v>781</v>
      </c>
      <c r="C49" s="17" t="s">
        <v>504</v>
      </c>
      <c r="D49" s="17" t="str">
        <f>"0,5889"</f>
        <v>0,5889</v>
      </c>
      <c r="E49" s="17" t="s">
        <v>111</v>
      </c>
      <c r="F49" s="17" t="s">
        <v>112</v>
      </c>
      <c r="G49" s="18" t="s">
        <v>655</v>
      </c>
      <c r="H49" s="18" t="s">
        <v>270</v>
      </c>
      <c r="I49" s="19" t="s">
        <v>782</v>
      </c>
      <c r="J49" s="19"/>
      <c r="K49" s="17" t="str">
        <f>"240,0"</f>
        <v>240,0</v>
      </c>
      <c r="L49" s="18" t="str">
        <f>"141,3360"</f>
        <v>141,3360</v>
      </c>
      <c r="M49" s="17" t="s">
        <v>121</v>
      </c>
    </row>
    <row r="50" spans="1:13" ht="12.75">
      <c r="A50" s="23" t="s">
        <v>784</v>
      </c>
      <c r="B50" s="23" t="s">
        <v>785</v>
      </c>
      <c r="C50" s="23" t="s">
        <v>786</v>
      </c>
      <c r="D50" s="23" t="str">
        <f>"0,5965"</f>
        <v>0,5965</v>
      </c>
      <c r="E50" s="23" t="s">
        <v>25</v>
      </c>
      <c r="F50" s="23" t="s">
        <v>112</v>
      </c>
      <c r="G50" s="24" t="s">
        <v>270</v>
      </c>
      <c r="H50" s="25" t="s">
        <v>787</v>
      </c>
      <c r="I50" s="24"/>
      <c r="J50" s="24"/>
      <c r="K50" s="23" t="str">
        <f>"257,5"</f>
        <v>257,5</v>
      </c>
      <c r="L50" s="25" t="str">
        <f>"153,5987"</f>
        <v>153,5987</v>
      </c>
      <c r="M50" s="23" t="s">
        <v>121</v>
      </c>
    </row>
    <row r="51" spans="1:13" ht="12.75">
      <c r="A51" s="23" t="s">
        <v>788</v>
      </c>
      <c r="B51" s="23" t="s">
        <v>789</v>
      </c>
      <c r="C51" s="23" t="s">
        <v>504</v>
      </c>
      <c r="D51" s="23" t="str">
        <f>"0,5889"</f>
        <v>0,5889</v>
      </c>
      <c r="E51" s="23" t="s">
        <v>111</v>
      </c>
      <c r="F51" s="23" t="s">
        <v>112</v>
      </c>
      <c r="G51" s="25" t="s">
        <v>655</v>
      </c>
      <c r="H51" s="25" t="s">
        <v>270</v>
      </c>
      <c r="I51" s="24" t="s">
        <v>782</v>
      </c>
      <c r="J51" s="24"/>
      <c r="K51" s="23" t="str">
        <f>"240,0"</f>
        <v>240,0</v>
      </c>
      <c r="L51" s="25" t="str">
        <f>"141,3360"</f>
        <v>141,3360</v>
      </c>
      <c r="M51" s="23" t="s">
        <v>121</v>
      </c>
    </row>
    <row r="52" spans="1:13" ht="12.75">
      <c r="A52" s="20" t="s">
        <v>790</v>
      </c>
      <c r="B52" s="20" t="s">
        <v>631</v>
      </c>
      <c r="C52" s="20" t="s">
        <v>339</v>
      </c>
      <c r="D52" s="20" t="str">
        <f>"0,5853"</f>
        <v>0,5853</v>
      </c>
      <c r="E52" s="20" t="s">
        <v>25</v>
      </c>
      <c r="F52" s="20" t="s">
        <v>632</v>
      </c>
      <c r="G52" s="21" t="s">
        <v>628</v>
      </c>
      <c r="H52" s="21" t="s">
        <v>46</v>
      </c>
      <c r="I52" s="21" t="s">
        <v>29</v>
      </c>
      <c r="J52" s="22"/>
      <c r="K52" s="20" t="str">
        <f>"210,0"</f>
        <v>210,0</v>
      </c>
      <c r="L52" s="21" t="str">
        <f>"122,9130"</f>
        <v>122,9130</v>
      </c>
      <c r="M52" s="20" t="s">
        <v>49</v>
      </c>
    </row>
    <row r="54" spans="1:12" ht="15">
      <c r="A54" s="49" t="s">
        <v>37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3" ht="12.75">
      <c r="A55" s="17" t="s">
        <v>792</v>
      </c>
      <c r="B55" s="17" t="s">
        <v>793</v>
      </c>
      <c r="C55" s="17" t="s">
        <v>794</v>
      </c>
      <c r="D55" s="17" t="str">
        <f>"0,5560"</f>
        <v>0,5560</v>
      </c>
      <c r="E55" s="17" t="s">
        <v>25</v>
      </c>
      <c r="F55" s="17" t="s">
        <v>126</v>
      </c>
      <c r="G55" s="18" t="s">
        <v>795</v>
      </c>
      <c r="H55" s="18" t="s">
        <v>60</v>
      </c>
      <c r="I55" s="19" t="s">
        <v>89</v>
      </c>
      <c r="J55" s="19"/>
      <c r="K55" s="17" t="str">
        <f>"280,0"</f>
        <v>280,0</v>
      </c>
      <c r="L55" s="18" t="str">
        <f>"155,6800"</f>
        <v>155,6800</v>
      </c>
      <c r="M55" s="17" t="s">
        <v>49</v>
      </c>
    </row>
    <row r="56" spans="1:13" ht="12.75">
      <c r="A56" s="23" t="s">
        <v>797</v>
      </c>
      <c r="B56" s="23" t="s">
        <v>798</v>
      </c>
      <c r="C56" s="23" t="s">
        <v>357</v>
      </c>
      <c r="D56" s="23" t="str">
        <f>"0,5565"</f>
        <v>0,5565</v>
      </c>
      <c r="E56" s="23" t="s">
        <v>25</v>
      </c>
      <c r="F56" s="23" t="s">
        <v>26</v>
      </c>
      <c r="G56" s="25" t="s">
        <v>222</v>
      </c>
      <c r="H56" s="25" t="s">
        <v>223</v>
      </c>
      <c r="I56" s="25" t="s">
        <v>270</v>
      </c>
      <c r="J56" s="24"/>
      <c r="K56" s="23" t="str">
        <f>"240,0"</f>
        <v>240,0</v>
      </c>
      <c r="L56" s="25" t="str">
        <f>"133,5600"</f>
        <v>133,5600</v>
      </c>
      <c r="M56" s="23" t="s">
        <v>49</v>
      </c>
    </row>
    <row r="57" spans="1:13" ht="12.75">
      <c r="A57" s="20" t="s">
        <v>800</v>
      </c>
      <c r="B57" s="20" t="s">
        <v>801</v>
      </c>
      <c r="C57" s="20" t="s">
        <v>529</v>
      </c>
      <c r="D57" s="20" t="str">
        <f>"0,5619"</f>
        <v>0,5619</v>
      </c>
      <c r="E57" s="20" t="s">
        <v>25</v>
      </c>
      <c r="F57" s="20" t="s">
        <v>745</v>
      </c>
      <c r="G57" s="21" t="s">
        <v>628</v>
      </c>
      <c r="H57" s="21" t="s">
        <v>29</v>
      </c>
      <c r="I57" s="22"/>
      <c r="J57" s="22"/>
      <c r="K57" s="20" t="str">
        <f>"210,0"</f>
        <v>210,0</v>
      </c>
      <c r="L57" s="21" t="str">
        <f>"138,4128"</f>
        <v>138,4128</v>
      </c>
      <c r="M57" s="20" t="s">
        <v>802</v>
      </c>
    </row>
    <row r="59" spans="1:12" ht="15">
      <c r="A59" s="49" t="s">
        <v>541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3" ht="12.75">
      <c r="A60" s="8" t="s">
        <v>804</v>
      </c>
      <c r="B60" s="8" t="s">
        <v>805</v>
      </c>
      <c r="C60" s="8" t="s">
        <v>806</v>
      </c>
      <c r="D60" s="8" t="str">
        <f>"0,5373"</f>
        <v>0,5373</v>
      </c>
      <c r="E60" s="8" t="s">
        <v>25</v>
      </c>
      <c r="F60" s="8" t="s">
        <v>807</v>
      </c>
      <c r="G60" s="9" t="s">
        <v>46</v>
      </c>
      <c r="H60" s="9" t="s">
        <v>29</v>
      </c>
      <c r="I60" s="9" t="s">
        <v>205</v>
      </c>
      <c r="J60" s="10"/>
      <c r="K60" s="8" t="str">
        <f>"220,0"</f>
        <v>220,0</v>
      </c>
      <c r="L60" s="9" t="str">
        <f>"174,9449"</f>
        <v>174,9449</v>
      </c>
      <c r="M60" s="8" t="s">
        <v>455</v>
      </c>
    </row>
    <row r="62" spans="1:12" ht="15">
      <c r="A62" s="49" t="s">
        <v>50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3" ht="12.75">
      <c r="A63" s="17" t="s">
        <v>239</v>
      </c>
      <c r="B63" s="17" t="s">
        <v>240</v>
      </c>
      <c r="C63" s="17" t="s">
        <v>241</v>
      </c>
      <c r="D63" s="17" t="str">
        <f>"0,5237"</f>
        <v>0,5237</v>
      </c>
      <c r="E63" s="17" t="s">
        <v>111</v>
      </c>
      <c r="F63" s="17" t="s">
        <v>112</v>
      </c>
      <c r="G63" s="18" t="s">
        <v>32</v>
      </c>
      <c r="H63" s="18" t="s">
        <v>243</v>
      </c>
      <c r="I63" s="18" t="s">
        <v>244</v>
      </c>
      <c r="J63" s="19"/>
      <c r="K63" s="17" t="str">
        <f>"192,5"</f>
        <v>192,5</v>
      </c>
      <c r="L63" s="18" t="str">
        <f>"113,9178"</f>
        <v>113,9178</v>
      </c>
      <c r="M63" s="17" t="s">
        <v>49</v>
      </c>
    </row>
    <row r="64" spans="1:13" ht="12.75">
      <c r="A64" s="20" t="s">
        <v>809</v>
      </c>
      <c r="B64" s="20" t="s">
        <v>810</v>
      </c>
      <c r="C64" s="20" t="s">
        <v>811</v>
      </c>
      <c r="D64" s="20" t="str">
        <f>"0,5253"</f>
        <v>0,5253</v>
      </c>
      <c r="E64" s="20" t="s">
        <v>25</v>
      </c>
      <c r="F64" s="20" t="s">
        <v>397</v>
      </c>
      <c r="G64" s="21" t="s">
        <v>812</v>
      </c>
      <c r="H64" s="21" t="s">
        <v>86</v>
      </c>
      <c r="I64" s="21" t="s">
        <v>88</v>
      </c>
      <c r="J64" s="22"/>
      <c r="K64" s="20" t="str">
        <f>"270,0"</f>
        <v>270,0</v>
      </c>
      <c r="L64" s="21" t="str">
        <f>"141,8310"</f>
        <v>141,8310</v>
      </c>
      <c r="M64" s="20" t="s">
        <v>49</v>
      </c>
    </row>
    <row r="66" ht="15">
      <c r="E66" s="6" t="s">
        <v>12</v>
      </c>
    </row>
    <row r="67" ht="15">
      <c r="E67" s="6" t="s">
        <v>13</v>
      </c>
    </row>
    <row r="68" ht="15">
      <c r="E68" s="6" t="s">
        <v>14</v>
      </c>
    </row>
    <row r="69" ht="15">
      <c r="E69" s="6" t="s">
        <v>15</v>
      </c>
    </row>
    <row r="70" ht="15">
      <c r="E70" s="6" t="s">
        <v>15</v>
      </c>
    </row>
    <row r="71" ht="15">
      <c r="E71" s="6" t="s">
        <v>16</v>
      </c>
    </row>
    <row r="72" ht="15">
      <c r="E72" s="6"/>
    </row>
    <row r="74" spans="1:2" ht="18">
      <c r="A74" s="7" t="s">
        <v>17</v>
      </c>
      <c r="B74" s="7"/>
    </row>
    <row r="75" spans="1:2" ht="15">
      <c r="A75" s="11" t="s">
        <v>245</v>
      </c>
      <c r="B75" s="11"/>
    </row>
    <row r="76" spans="1:2" ht="14.25">
      <c r="A76" s="13"/>
      <c r="B76" s="14" t="s">
        <v>246</v>
      </c>
    </row>
    <row r="77" spans="1:5" ht="15">
      <c r="A77" s="15" t="s">
        <v>63</v>
      </c>
      <c r="B77" s="15" t="s">
        <v>64</v>
      </c>
      <c r="C77" s="15" t="s">
        <v>65</v>
      </c>
      <c r="D77" s="15" t="s">
        <v>66</v>
      </c>
      <c r="E77" s="15" t="s">
        <v>67</v>
      </c>
    </row>
    <row r="78" spans="1:5" ht="12.75">
      <c r="A78" s="12" t="s">
        <v>107</v>
      </c>
      <c r="B78" s="5" t="s">
        <v>247</v>
      </c>
      <c r="C78" s="5" t="s">
        <v>248</v>
      </c>
      <c r="D78" s="5" t="s">
        <v>120</v>
      </c>
      <c r="E78" s="16" t="s">
        <v>813</v>
      </c>
    </row>
    <row r="79" spans="1:5" ht="12.75">
      <c r="A79" s="12" t="s">
        <v>134</v>
      </c>
      <c r="B79" s="5" t="s">
        <v>250</v>
      </c>
      <c r="C79" s="5" t="s">
        <v>251</v>
      </c>
      <c r="D79" s="5" t="s">
        <v>71</v>
      </c>
      <c r="E79" s="16" t="s">
        <v>814</v>
      </c>
    </row>
    <row r="81" spans="1:2" ht="14.25">
      <c r="A81" s="13"/>
      <c r="B81" s="14" t="s">
        <v>254</v>
      </c>
    </row>
    <row r="82" spans="1:5" ht="15">
      <c r="A82" s="15" t="s">
        <v>63</v>
      </c>
      <c r="B82" s="15" t="s">
        <v>64</v>
      </c>
      <c r="C82" s="15" t="s">
        <v>65</v>
      </c>
      <c r="D82" s="15" t="s">
        <v>66</v>
      </c>
      <c r="E82" s="15" t="s">
        <v>67</v>
      </c>
    </row>
    <row r="83" spans="1:5" ht="12.75">
      <c r="A83" s="12" t="s">
        <v>702</v>
      </c>
      <c r="B83" s="5" t="s">
        <v>255</v>
      </c>
      <c r="C83" s="5" t="s">
        <v>248</v>
      </c>
      <c r="D83" s="5" t="s">
        <v>373</v>
      </c>
      <c r="E83" s="16" t="s">
        <v>815</v>
      </c>
    </row>
    <row r="84" spans="1:5" ht="12.75">
      <c r="A84" s="12" t="s">
        <v>707</v>
      </c>
      <c r="B84" s="5" t="s">
        <v>255</v>
      </c>
      <c r="C84" s="5" t="s">
        <v>248</v>
      </c>
      <c r="D84" s="5" t="s">
        <v>711</v>
      </c>
      <c r="E84" s="16" t="s">
        <v>816</v>
      </c>
    </row>
    <row r="86" spans="1:2" ht="14.25">
      <c r="A86" s="13"/>
      <c r="B86" s="14" t="s">
        <v>62</v>
      </c>
    </row>
    <row r="87" spans="1:5" ht="15">
      <c r="A87" s="15" t="s">
        <v>63</v>
      </c>
      <c r="B87" s="15" t="s">
        <v>64</v>
      </c>
      <c r="C87" s="15" t="s">
        <v>65</v>
      </c>
      <c r="D87" s="15" t="s">
        <v>66</v>
      </c>
      <c r="E87" s="15" t="s">
        <v>67</v>
      </c>
    </row>
    <row r="88" spans="1:5" ht="12.75">
      <c r="A88" s="12" t="s">
        <v>156</v>
      </c>
      <c r="B88" s="5" t="s">
        <v>62</v>
      </c>
      <c r="C88" s="5" t="s">
        <v>114</v>
      </c>
      <c r="D88" s="5" t="s">
        <v>242</v>
      </c>
      <c r="E88" s="16" t="s">
        <v>817</v>
      </c>
    </row>
    <row r="89" spans="1:5" ht="12.75">
      <c r="A89" s="12" t="s">
        <v>717</v>
      </c>
      <c r="B89" s="5" t="s">
        <v>62</v>
      </c>
      <c r="C89" s="5" t="s">
        <v>251</v>
      </c>
      <c r="D89" s="5" t="s">
        <v>68</v>
      </c>
      <c r="E89" s="16" t="s">
        <v>818</v>
      </c>
    </row>
    <row r="90" spans="1:5" ht="12.75">
      <c r="A90" s="12" t="s">
        <v>721</v>
      </c>
      <c r="B90" s="5" t="s">
        <v>62</v>
      </c>
      <c r="C90" s="5" t="s">
        <v>251</v>
      </c>
      <c r="D90" s="5" t="s">
        <v>341</v>
      </c>
      <c r="E90" s="16" t="s">
        <v>819</v>
      </c>
    </row>
    <row r="91" spans="1:5" ht="12.75">
      <c r="A91" s="12" t="s">
        <v>725</v>
      </c>
      <c r="B91" s="5" t="s">
        <v>62</v>
      </c>
      <c r="C91" s="5" t="s">
        <v>251</v>
      </c>
      <c r="D91" s="5" t="s">
        <v>341</v>
      </c>
      <c r="E91" s="16" t="s">
        <v>820</v>
      </c>
    </row>
    <row r="92" spans="1:5" ht="12.75">
      <c r="A92" s="12" t="s">
        <v>734</v>
      </c>
      <c r="B92" s="5" t="s">
        <v>62</v>
      </c>
      <c r="C92" s="5" t="s">
        <v>141</v>
      </c>
      <c r="D92" s="5" t="s">
        <v>213</v>
      </c>
      <c r="E92" s="16" t="s">
        <v>821</v>
      </c>
    </row>
    <row r="93" spans="1:5" ht="12.75">
      <c r="A93" s="12" t="s">
        <v>435</v>
      </c>
      <c r="B93" s="5" t="s">
        <v>62</v>
      </c>
      <c r="C93" s="5" t="s">
        <v>572</v>
      </c>
      <c r="D93" s="5" t="s">
        <v>364</v>
      </c>
      <c r="E93" s="16" t="s">
        <v>822</v>
      </c>
    </row>
    <row r="94" spans="1:5" ht="12.75">
      <c r="A94" s="12" t="s">
        <v>712</v>
      </c>
      <c r="B94" s="5" t="s">
        <v>62</v>
      </c>
      <c r="C94" s="5" t="s">
        <v>248</v>
      </c>
      <c r="D94" s="5" t="s">
        <v>71</v>
      </c>
      <c r="E94" s="16" t="s">
        <v>823</v>
      </c>
    </row>
    <row r="95" spans="1:5" ht="12.75">
      <c r="A95" s="12" t="s">
        <v>730</v>
      </c>
      <c r="B95" s="5" t="s">
        <v>62</v>
      </c>
      <c r="C95" s="5" t="s">
        <v>114</v>
      </c>
      <c r="D95" s="5" t="s">
        <v>120</v>
      </c>
      <c r="E95" s="16" t="s">
        <v>824</v>
      </c>
    </row>
    <row r="97" spans="1:2" ht="14.25">
      <c r="A97" s="13"/>
      <c r="B97" s="14" t="s">
        <v>268</v>
      </c>
    </row>
    <row r="98" spans="1:5" ht="15">
      <c r="A98" s="15" t="s">
        <v>63</v>
      </c>
      <c r="B98" s="15" t="s">
        <v>64</v>
      </c>
      <c r="C98" s="15" t="s">
        <v>65</v>
      </c>
      <c r="D98" s="15" t="s">
        <v>66</v>
      </c>
      <c r="E98" s="15" t="s">
        <v>67</v>
      </c>
    </row>
    <row r="99" spans="1:5" ht="12.75">
      <c r="A99" s="12" t="s">
        <v>741</v>
      </c>
      <c r="B99" s="5" t="s">
        <v>269</v>
      </c>
      <c r="C99" s="5" t="s">
        <v>265</v>
      </c>
      <c r="D99" s="5" t="s">
        <v>154</v>
      </c>
      <c r="E99" s="16" t="s">
        <v>825</v>
      </c>
    </row>
    <row r="100" spans="1:5" ht="12.75">
      <c r="A100" s="12" t="s">
        <v>738</v>
      </c>
      <c r="B100" s="5" t="s">
        <v>269</v>
      </c>
      <c r="C100" s="5" t="s">
        <v>141</v>
      </c>
      <c r="D100" s="5" t="s">
        <v>74</v>
      </c>
      <c r="E100" s="16" t="s">
        <v>826</v>
      </c>
    </row>
    <row r="103" spans="1:2" ht="15">
      <c r="A103" s="11" t="s">
        <v>61</v>
      </c>
      <c r="B103" s="11"/>
    </row>
    <row r="104" spans="1:2" ht="14.25">
      <c r="A104" s="13"/>
      <c r="B104" s="14" t="s">
        <v>274</v>
      </c>
    </row>
    <row r="105" spans="1:5" ht="15">
      <c r="A105" s="15" t="s">
        <v>63</v>
      </c>
      <c r="B105" s="15" t="s">
        <v>64</v>
      </c>
      <c r="C105" s="15" t="s">
        <v>65</v>
      </c>
      <c r="D105" s="15" t="s">
        <v>66</v>
      </c>
      <c r="E105" s="15" t="s">
        <v>67</v>
      </c>
    </row>
    <row r="106" spans="1:5" ht="12.75">
      <c r="A106" s="12" t="s">
        <v>207</v>
      </c>
      <c r="B106" s="5" t="s">
        <v>247</v>
      </c>
      <c r="C106" s="5" t="s">
        <v>265</v>
      </c>
      <c r="D106" s="5" t="s">
        <v>364</v>
      </c>
      <c r="E106" s="16" t="s">
        <v>827</v>
      </c>
    </row>
    <row r="107" spans="1:5" ht="12.75">
      <c r="A107" s="12" t="s">
        <v>238</v>
      </c>
      <c r="B107" s="5" t="s">
        <v>275</v>
      </c>
      <c r="C107" s="5" t="s">
        <v>68</v>
      </c>
      <c r="D107" s="5" t="s">
        <v>244</v>
      </c>
      <c r="E107" s="16" t="s">
        <v>828</v>
      </c>
    </row>
    <row r="108" spans="1:5" ht="12.75">
      <c r="A108" s="12" t="s">
        <v>747</v>
      </c>
      <c r="B108" s="5" t="s">
        <v>247</v>
      </c>
      <c r="C108" s="5" t="s">
        <v>114</v>
      </c>
      <c r="D108" s="5" t="s">
        <v>114</v>
      </c>
      <c r="E108" s="16" t="s">
        <v>829</v>
      </c>
    </row>
    <row r="110" spans="1:2" ht="14.25">
      <c r="A110" s="13"/>
      <c r="B110" s="14" t="s">
        <v>363</v>
      </c>
    </row>
    <row r="111" spans="1:5" ht="15">
      <c r="A111" s="15" t="s">
        <v>63</v>
      </c>
      <c r="B111" s="15" t="s">
        <v>64</v>
      </c>
      <c r="C111" s="15" t="s">
        <v>65</v>
      </c>
      <c r="D111" s="15" t="s">
        <v>66</v>
      </c>
      <c r="E111" s="15" t="s">
        <v>67</v>
      </c>
    </row>
    <row r="112" spans="1:5" ht="12.75">
      <c r="A112" s="12" t="s">
        <v>760</v>
      </c>
      <c r="B112" s="5" t="s">
        <v>255</v>
      </c>
      <c r="C112" s="5" t="s">
        <v>265</v>
      </c>
      <c r="D112" s="5" t="s">
        <v>655</v>
      </c>
      <c r="E112" s="16" t="s">
        <v>830</v>
      </c>
    </row>
    <row r="113" spans="1:5" ht="12.75">
      <c r="A113" s="12" t="s">
        <v>764</v>
      </c>
      <c r="B113" s="5" t="s">
        <v>255</v>
      </c>
      <c r="C113" s="5" t="s">
        <v>265</v>
      </c>
      <c r="D113" s="5" t="s">
        <v>769</v>
      </c>
      <c r="E113" s="16" t="s">
        <v>831</v>
      </c>
    </row>
    <row r="114" spans="1:5" ht="12.75">
      <c r="A114" s="12" t="s">
        <v>779</v>
      </c>
      <c r="B114" s="5" t="s">
        <v>255</v>
      </c>
      <c r="C114" s="5" t="s">
        <v>71</v>
      </c>
      <c r="D114" s="5" t="s">
        <v>270</v>
      </c>
      <c r="E114" s="16" t="s">
        <v>832</v>
      </c>
    </row>
    <row r="115" spans="1:5" ht="12.75">
      <c r="A115" s="12" t="s">
        <v>750</v>
      </c>
      <c r="B115" s="5" t="s">
        <v>255</v>
      </c>
      <c r="C115" s="5" t="s">
        <v>141</v>
      </c>
      <c r="D115" s="5" t="s">
        <v>833</v>
      </c>
      <c r="E115" s="16" t="s">
        <v>834</v>
      </c>
    </row>
    <row r="116" spans="1:5" ht="12.75">
      <c r="A116" s="12" t="s">
        <v>770</v>
      </c>
      <c r="B116" s="5" t="s">
        <v>255</v>
      </c>
      <c r="C116" s="5" t="s">
        <v>265</v>
      </c>
      <c r="D116" s="5" t="s">
        <v>252</v>
      </c>
      <c r="E116" s="16" t="s">
        <v>835</v>
      </c>
    </row>
    <row r="118" spans="1:2" ht="14.25">
      <c r="A118" s="13"/>
      <c r="B118" s="14" t="s">
        <v>62</v>
      </c>
    </row>
    <row r="119" spans="1:5" ht="15">
      <c r="A119" s="15" t="s">
        <v>63</v>
      </c>
      <c r="B119" s="15" t="s">
        <v>64</v>
      </c>
      <c r="C119" s="15" t="s">
        <v>65</v>
      </c>
      <c r="D119" s="15" t="s">
        <v>66</v>
      </c>
      <c r="E119" s="15" t="s">
        <v>67</v>
      </c>
    </row>
    <row r="120" spans="1:5" ht="12.75">
      <c r="A120" s="12" t="s">
        <v>791</v>
      </c>
      <c r="B120" s="5" t="s">
        <v>62</v>
      </c>
      <c r="C120" s="5" t="s">
        <v>74</v>
      </c>
      <c r="D120" s="5" t="s">
        <v>680</v>
      </c>
      <c r="E120" s="16" t="s">
        <v>836</v>
      </c>
    </row>
    <row r="121" spans="1:5" ht="12.75">
      <c r="A121" s="12" t="s">
        <v>783</v>
      </c>
      <c r="B121" s="5" t="s">
        <v>62</v>
      </c>
      <c r="C121" s="5" t="s">
        <v>71</v>
      </c>
      <c r="D121" s="5" t="s">
        <v>782</v>
      </c>
      <c r="E121" s="16" t="s">
        <v>837</v>
      </c>
    </row>
    <row r="122" spans="1:5" ht="12.75">
      <c r="A122" s="12" t="s">
        <v>215</v>
      </c>
      <c r="B122" s="5" t="s">
        <v>62</v>
      </c>
      <c r="C122" s="5" t="s">
        <v>265</v>
      </c>
      <c r="D122" s="5" t="s">
        <v>224</v>
      </c>
      <c r="E122" s="16" t="s">
        <v>838</v>
      </c>
    </row>
    <row r="123" spans="1:5" ht="12.75">
      <c r="A123" s="12" t="s">
        <v>808</v>
      </c>
      <c r="B123" s="5" t="s">
        <v>62</v>
      </c>
      <c r="C123" s="5" t="s">
        <v>68</v>
      </c>
      <c r="D123" s="5" t="s">
        <v>839</v>
      </c>
      <c r="E123" s="16" t="s">
        <v>840</v>
      </c>
    </row>
    <row r="124" spans="1:5" ht="12.75">
      <c r="A124" s="12" t="s">
        <v>764</v>
      </c>
      <c r="B124" s="5" t="s">
        <v>62</v>
      </c>
      <c r="C124" s="5" t="s">
        <v>265</v>
      </c>
      <c r="D124" s="5" t="s">
        <v>769</v>
      </c>
      <c r="E124" s="16" t="s">
        <v>841</v>
      </c>
    </row>
    <row r="125" spans="1:5" ht="12.75">
      <c r="A125" s="12" t="s">
        <v>779</v>
      </c>
      <c r="B125" s="5" t="s">
        <v>62</v>
      </c>
      <c r="C125" s="5" t="s">
        <v>71</v>
      </c>
      <c r="D125" s="5" t="s">
        <v>270</v>
      </c>
      <c r="E125" s="16" t="s">
        <v>832</v>
      </c>
    </row>
    <row r="126" spans="1:5" ht="12.75">
      <c r="A126" s="12" t="s">
        <v>796</v>
      </c>
      <c r="B126" s="5" t="s">
        <v>62</v>
      </c>
      <c r="C126" s="5" t="s">
        <v>74</v>
      </c>
      <c r="D126" s="5" t="s">
        <v>270</v>
      </c>
      <c r="E126" s="16" t="s">
        <v>842</v>
      </c>
    </row>
    <row r="127" spans="1:5" ht="12.75">
      <c r="A127" s="12" t="s">
        <v>629</v>
      </c>
      <c r="B127" s="5" t="s">
        <v>62</v>
      </c>
      <c r="C127" s="5" t="s">
        <v>71</v>
      </c>
      <c r="D127" s="5" t="s">
        <v>204</v>
      </c>
      <c r="E127" s="16" t="s">
        <v>657</v>
      </c>
    </row>
    <row r="128" spans="1:5" ht="12.75">
      <c r="A128" s="12" t="s">
        <v>755</v>
      </c>
      <c r="B128" s="5" t="s">
        <v>62</v>
      </c>
      <c r="C128" s="5" t="s">
        <v>141</v>
      </c>
      <c r="D128" s="5" t="s">
        <v>330</v>
      </c>
      <c r="E128" s="16" t="s">
        <v>843</v>
      </c>
    </row>
    <row r="130" spans="1:2" ht="14.25">
      <c r="A130" s="13"/>
      <c r="B130" s="14" t="s">
        <v>268</v>
      </c>
    </row>
    <row r="131" spans="1:5" ht="15">
      <c r="A131" s="15" t="s">
        <v>63</v>
      </c>
      <c r="B131" s="15" t="s">
        <v>64</v>
      </c>
      <c r="C131" s="15" t="s">
        <v>65</v>
      </c>
      <c r="D131" s="15" t="s">
        <v>66</v>
      </c>
      <c r="E131" s="15" t="s">
        <v>67</v>
      </c>
    </row>
    <row r="132" spans="1:5" ht="12.75">
      <c r="A132" s="12" t="s">
        <v>775</v>
      </c>
      <c r="B132" s="5" t="s">
        <v>372</v>
      </c>
      <c r="C132" s="5" t="s">
        <v>265</v>
      </c>
      <c r="D132" s="5" t="s">
        <v>27</v>
      </c>
      <c r="E132" s="16" t="s">
        <v>844</v>
      </c>
    </row>
    <row r="133" spans="1:5" ht="12.75">
      <c r="A133" s="12" t="s">
        <v>803</v>
      </c>
      <c r="B133" s="5" t="s">
        <v>606</v>
      </c>
      <c r="C133" s="5" t="s">
        <v>497</v>
      </c>
      <c r="D133" s="5" t="s">
        <v>845</v>
      </c>
      <c r="E133" s="16" t="s">
        <v>846</v>
      </c>
    </row>
    <row r="134" spans="1:5" ht="12.75">
      <c r="A134" s="12" t="s">
        <v>799</v>
      </c>
      <c r="B134" s="5" t="s">
        <v>375</v>
      </c>
      <c r="C134" s="5" t="s">
        <v>74</v>
      </c>
      <c r="D134" s="5" t="s">
        <v>204</v>
      </c>
      <c r="E134" s="16" t="s">
        <v>847</v>
      </c>
    </row>
  </sheetData>
  <sheetProtection/>
  <mergeCells count="24">
    <mergeCell ref="A48:L48"/>
    <mergeCell ref="A54:L54"/>
    <mergeCell ref="A59:L59"/>
    <mergeCell ref="A62:L62"/>
    <mergeCell ref="A29:L29"/>
    <mergeCell ref="A32:L32"/>
    <mergeCell ref="A35:L35"/>
    <mergeCell ref="A39:L39"/>
    <mergeCell ref="A11:L11"/>
    <mergeCell ref="A18:L18"/>
    <mergeCell ref="A22:L22"/>
    <mergeCell ref="A26:L26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5" bestFit="1" customWidth="1"/>
    <col min="2" max="2" width="28.625" style="5" bestFit="1" customWidth="1"/>
    <col min="3" max="3" width="10.625" style="5" bestFit="1" customWidth="1"/>
    <col min="4" max="4" width="9.25390625" style="5" bestFit="1" customWidth="1"/>
    <col min="5" max="5" width="22.75390625" style="5" bestFit="1" customWidth="1"/>
    <col min="6" max="6" width="17.25390625" style="5" bestFit="1" customWidth="1"/>
    <col min="7" max="8" width="6.625" style="4" bestFit="1" customWidth="1"/>
    <col min="9" max="9" width="5.625" style="4" bestFit="1" customWidth="1"/>
    <col min="10" max="10" width="4.875" style="4" bestFit="1" customWidth="1"/>
    <col min="11" max="11" width="7.875" style="5" bestFit="1" customWidth="1"/>
    <col min="12" max="12" width="8.625" style="4" bestFit="1" customWidth="1"/>
    <col min="13" max="13" width="13.625" style="5" bestFit="1" customWidth="1"/>
    <col min="14" max="16384" width="9.125" style="4" customWidth="1"/>
  </cols>
  <sheetData>
    <row r="1" spans="1:13" s="3" customFormat="1" ht="28.5" customHeight="1">
      <c r="A1" s="40" t="s">
        <v>686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3" customFormat="1" ht="61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9</v>
      </c>
      <c r="C3" s="48" t="s">
        <v>10</v>
      </c>
      <c r="D3" s="34" t="s">
        <v>19</v>
      </c>
      <c r="E3" s="34" t="s">
        <v>7</v>
      </c>
      <c r="F3" s="34" t="s">
        <v>11</v>
      </c>
      <c r="G3" s="34" t="s">
        <v>3</v>
      </c>
      <c r="H3" s="34"/>
      <c r="I3" s="34"/>
      <c r="J3" s="34"/>
      <c r="K3" s="34" t="s">
        <v>295</v>
      </c>
      <c r="L3" s="34" t="s">
        <v>6</v>
      </c>
      <c r="M3" s="36" t="s">
        <v>5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2">
        <v>1</v>
      </c>
      <c r="H4" s="2">
        <v>2</v>
      </c>
      <c r="I4" s="2">
        <v>3</v>
      </c>
      <c r="J4" s="2" t="s">
        <v>8</v>
      </c>
      <c r="K4" s="35"/>
      <c r="L4" s="35"/>
      <c r="M4" s="37"/>
    </row>
    <row r="5" spans="1:12" ht="15">
      <c r="A5" s="38" t="s">
        <v>180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ht="12.75">
      <c r="A6" s="8" t="s">
        <v>688</v>
      </c>
      <c r="B6" s="8" t="s">
        <v>689</v>
      </c>
      <c r="C6" s="8" t="s">
        <v>317</v>
      </c>
      <c r="D6" s="8" t="str">
        <f>"0,6448"</f>
        <v>0,6448</v>
      </c>
      <c r="E6" s="8" t="s">
        <v>453</v>
      </c>
      <c r="F6" s="8" t="s">
        <v>666</v>
      </c>
      <c r="G6" s="9" t="s">
        <v>31</v>
      </c>
      <c r="H6" s="9" t="s">
        <v>58</v>
      </c>
      <c r="I6" s="9" t="s">
        <v>27</v>
      </c>
      <c r="J6" s="10"/>
      <c r="K6" s="8" t="str">
        <f>"180,0"</f>
        <v>180,0</v>
      </c>
      <c r="L6" s="9" t="str">
        <f>"197,3088"</f>
        <v>197,3088</v>
      </c>
      <c r="M6" s="8" t="s">
        <v>690</v>
      </c>
    </row>
    <row r="8" spans="1:12" ht="15">
      <c r="A8" s="49" t="s">
        <v>37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7" t="s">
        <v>692</v>
      </c>
      <c r="B9" s="17" t="s">
        <v>693</v>
      </c>
      <c r="C9" s="17" t="s">
        <v>694</v>
      </c>
      <c r="D9" s="17" t="str">
        <f>"0,5555"</f>
        <v>0,5555</v>
      </c>
      <c r="E9" s="17" t="s">
        <v>25</v>
      </c>
      <c r="F9" s="17" t="s">
        <v>82</v>
      </c>
      <c r="G9" s="18" t="s">
        <v>695</v>
      </c>
      <c r="H9" s="19" t="s">
        <v>696</v>
      </c>
      <c r="I9" s="18" t="s">
        <v>282</v>
      </c>
      <c r="J9" s="19"/>
      <c r="K9" s="17" t="str">
        <f>"310,0"</f>
        <v>310,0</v>
      </c>
      <c r="L9" s="18" t="str">
        <f>"172,2050"</f>
        <v>172,2050</v>
      </c>
      <c r="M9" s="17" t="s">
        <v>90</v>
      </c>
    </row>
    <row r="10" spans="1:13" ht="12.75">
      <c r="A10" s="20" t="s">
        <v>692</v>
      </c>
      <c r="B10" s="20" t="s">
        <v>697</v>
      </c>
      <c r="C10" s="20" t="s">
        <v>694</v>
      </c>
      <c r="D10" s="20" t="str">
        <f>"0,5555"</f>
        <v>0,5555</v>
      </c>
      <c r="E10" s="20" t="s">
        <v>25</v>
      </c>
      <c r="F10" s="20" t="s">
        <v>82</v>
      </c>
      <c r="G10" s="21" t="s">
        <v>695</v>
      </c>
      <c r="H10" s="22" t="s">
        <v>696</v>
      </c>
      <c r="I10" s="21" t="s">
        <v>282</v>
      </c>
      <c r="J10" s="22"/>
      <c r="K10" s="20" t="str">
        <f>"310,0"</f>
        <v>310,0</v>
      </c>
      <c r="L10" s="21" t="str">
        <f>"201,9965"</f>
        <v>201,9965</v>
      </c>
      <c r="M10" s="20" t="s">
        <v>90</v>
      </c>
    </row>
    <row r="12" ht="15">
      <c r="E12" s="6" t="s">
        <v>12</v>
      </c>
    </row>
    <row r="13" ht="15">
      <c r="E13" s="6" t="s">
        <v>13</v>
      </c>
    </row>
    <row r="14" ht="15">
      <c r="E14" s="6" t="s">
        <v>14</v>
      </c>
    </row>
    <row r="15" ht="15">
      <c r="E15" s="6" t="s">
        <v>15</v>
      </c>
    </row>
    <row r="16" ht="15">
      <c r="E16" s="6" t="s">
        <v>15</v>
      </c>
    </row>
    <row r="17" ht="15">
      <c r="E17" s="6" t="s">
        <v>16</v>
      </c>
    </row>
    <row r="18" ht="15">
      <c r="E18" s="6"/>
    </row>
    <row r="20" spans="1:2" ht="18">
      <c r="A20" s="7" t="s">
        <v>17</v>
      </c>
      <c r="B20" s="7"/>
    </row>
    <row r="21" spans="1:2" ht="15">
      <c r="A21" s="11" t="s">
        <v>61</v>
      </c>
      <c r="B21" s="11"/>
    </row>
    <row r="22" spans="1:2" ht="14.25">
      <c r="A22" s="13"/>
      <c r="B22" s="14" t="s">
        <v>62</v>
      </c>
    </row>
    <row r="23" spans="1:5" ht="15">
      <c r="A23" s="15" t="s">
        <v>63</v>
      </c>
      <c r="B23" s="15" t="s">
        <v>64</v>
      </c>
      <c r="C23" s="15" t="s">
        <v>65</v>
      </c>
      <c r="D23" s="15" t="s">
        <v>66</v>
      </c>
      <c r="E23" s="15" t="s">
        <v>67</v>
      </c>
    </row>
    <row r="24" spans="1:5" ht="12.75">
      <c r="A24" s="12" t="s">
        <v>691</v>
      </c>
      <c r="B24" s="5" t="s">
        <v>62</v>
      </c>
      <c r="C24" s="5" t="s">
        <v>74</v>
      </c>
      <c r="D24" s="5" t="s">
        <v>282</v>
      </c>
      <c r="E24" s="16" t="s">
        <v>698</v>
      </c>
    </row>
    <row r="26" spans="1:2" ht="14.25">
      <c r="A26" s="13"/>
      <c r="B26" s="14" t="s">
        <v>268</v>
      </c>
    </row>
    <row r="27" spans="1:5" ht="15">
      <c r="A27" s="15" t="s">
        <v>63</v>
      </c>
      <c r="B27" s="15" t="s">
        <v>64</v>
      </c>
      <c r="C27" s="15" t="s">
        <v>65</v>
      </c>
      <c r="D27" s="15" t="s">
        <v>66</v>
      </c>
      <c r="E27" s="15" t="s">
        <v>67</v>
      </c>
    </row>
    <row r="28" spans="1:5" ht="12.75">
      <c r="A28" s="12" t="s">
        <v>691</v>
      </c>
      <c r="B28" s="5" t="s">
        <v>375</v>
      </c>
      <c r="C28" s="5" t="s">
        <v>74</v>
      </c>
      <c r="D28" s="5" t="s">
        <v>282</v>
      </c>
      <c r="E28" s="16" t="s">
        <v>699</v>
      </c>
    </row>
    <row r="29" spans="1:5" ht="12.75">
      <c r="A29" s="12" t="s">
        <v>687</v>
      </c>
      <c r="B29" s="5" t="s">
        <v>372</v>
      </c>
      <c r="C29" s="5" t="s">
        <v>265</v>
      </c>
      <c r="D29" s="5" t="s">
        <v>27</v>
      </c>
      <c r="E29" s="16" t="s">
        <v>700</v>
      </c>
    </row>
  </sheetData>
  <sheetProtection/>
  <mergeCells count="13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A8:L8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2018-09-06T16:12:59Z</dcterms:modified>
  <cp:category/>
  <cp:version/>
  <cp:contentType/>
  <cp:contentStatus/>
</cp:coreProperties>
</file>